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IJUUVK3gF1bfwbEzrh5DVSC5qQaIuo3zS1HAJoDK4u9WzBuqppgJ2rl8vUTiWeHkhhQ0r11FHbzDY43bLPrwrg==" workbookSaltValue="+sLDwCBJDzRbeXy08sTS+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23" i="2" s="1"/>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23" i="2" s="1"/>
  <c r="N16" i="2"/>
  <c r="N13" i="2"/>
  <c r="N12" i="2"/>
  <c r="N11" i="2"/>
  <c r="N10" i="2"/>
  <c r="N9" i="2"/>
  <c r="N14" i="2" s="1"/>
  <c r="M29" i="2"/>
  <c r="M28" i="2"/>
  <c r="M25" i="2"/>
  <c r="M22" i="2"/>
  <c r="M21" i="2"/>
  <c r="M20" i="2"/>
  <c r="M19" i="2"/>
  <c r="M18" i="2"/>
  <c r="M17" i="2"/>
  <c r="M16" i="2"/>
  <c r="M13" i="2"/>
  <c r="M12" i="2"/>
  <c r="M11" i="2"/>
  <c r="M10" i="2"/>
  <c r="M14" i="2" s="1"/>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1" i="13"/>
  <c r="BD18" i="8"/>
  <c r="E23" i="12"/>
  <c r="AP9" i="11"/>
  <c r="BE12" i="21"/>
  <c r="BE14" i="21" s="1"/>
  <c r="BE31" i="21" s="1"/>
  <c r="EN31" i="8"/>
  <c r="BA14" i="16"/>
  <c r="N29" i="11"/>
  <c r="N10" i="11"/>
  <c r="N11" i="11"/>
  <c r="M26" i="2"/>
  <c r="ES31" i="8"/>
  <c r="G23" i="12"/>
  <c r="AA31" i="8"/>
  <c r="EP31" i="8"/>
  <c r="ER31" i="13"/>
  <c r="EP31" i="19"/>
  <c r="S14" i="16"/>
  <c r="P14" i="16"/>
  <c r="F13" i="16"/>
  <c r="N30" i="16"/>
  <c r="H14" i="21"/>
  <c r="K26" i="2"/>
  <c r="N26" i="2"/>
  <c r="M23" i="2"/>
  <c r="K30" i="2"/>
  <c r="F30" i="17"/>
  <c r="F14" i="7"/>
  <c r="T14" i="16"/>
  <c r="T14" i="20"/>
  <c r="BF25" i="8"/>
  <c r="BF9" i="8"/>
  <c r="C30" i="7"/>
  <c r="AO14" i="21"/>
  <c r="AP14" i="16"/>
  <c r="T23" i="17"/>
  <c r="T26" i="17" s="1"/>
  <c r="T30" i="17" s="1"/>
  <c r="BG16" i="13"/>
  <c r="BE16" i="13"/>
  <c r="X32" i="20"/>
  <c r="G23" i="14"/>
  <c r="G30" i="14"/>
  <c r="BF12" i="8" l="1"/>
  <c r="J12" i="7" s="1"/>
  <c r="BA14" i="8"/>
  <c r="H28" i="2"/>
  <c r="AY14" i="8"/>
  <c r="BG16" i="8"/>
  <c r="Z14" i="17"/>
  <c r="BD17" i="13"/>
  <c r="BE17" i="13"/>
  <c r="BF17" i="8"/>
  <c r="B16" i="6"/>
  <c r="BD12" i="8"/>
  <c r="H12" i="7" s="1"/>
  <c r="R8" i="9"/>
  <c r="X12" i="21" s="1"/>
  <c r="T18" i="11"/>
  <c r="BH11" i="16"/>
  <c r="S20" i="14"/>
  <c r="V20" i="14" s="1"/>
  <c r="BK13" i="11"/>
  <c r="BH16" i="11"/>
  <c r="BH19" i="16"/>
  <c r="P18" i="17"/>
  <c r="BM29" i="11"/>
  <c r="BF29" i="11"/>
  <c r="BH19" i="11"/>
  <c r="BK19" i="11"/>
  <c r="BK9" i="11"/>
  <c r="BK16" i="11"/>
  <c r="BJ21" i="11"/>
  <c r="V21" i="11"/>
  <c r="BF22" i="11"/>
  <c r="BH9" i="11"/>
  <c r="BI16" i="11"/>
  <c r="BJ29" i="11"/>
  <c r="BM13" i="11"/>
  <c r="BJ12" i="11"/>
  <c r="BG9" i="11"/>
  <c r="BL11" i="11"/>
  <c r="R18" i="20"/>
  <c r="R23" i="20" s="1"/>
  <c r="BL21" i="11"/>
  <c r="BK18" i="11"/>
  <c r="S12" i="14"/>
  <c r="V12" i="14" s="1"/>
  <c r="S17" i="14"/>
  <c r="V17" i="14" s="1"/>
  <c r="R10" i="14"/>
  <c r="R17" i="14"/>
  <c r="R25" i="14"/>
  <c r="AM9" i="11"/>
  <c r="T21" i="11"/>
  <c r="T29" i="11"/>
  <c r="T9" i="11"/>
  <c r="S16" i="14"/>
  <c r="V16" i="14" s="1"/>
  <c r="T20" i="11"/>
  <c r="AA10" i="16"/>
  <c r="X12" i="17"/>
  <c r="X9" i="17"/>
  <c r="X22" i="20"/>
  <c r="V12" i="21"/>
  <c r="V18" i="16"/>
  <c r="V21" i="16"/>
  <c r="L11" i="2"/>
  <c r="U13" i="17"/>
  <c r="X16" i="16"/>
  <c r="X23" i="16" s="1"/>
  <c r="R13" i="14"/>
  <c r="S13" i="14"/>
  <c r="V13" i="14" s="1"/>
  <c r="S18" i="14"/>
  <c r="V18" i="14" s="1"/>
  <c r="R18" i="14"/>
  <c r="T12" i="11"/>
  <c r="T22" i="11"/>
  <c r="V13" i="16"/>
  <c r="AA28" i="16"/>
  <c r="X22" i="17"/>
  <c r="X10" i="17"/>
  <c r="AA16" i="16"/>
  <c r="X18" i="17"/>
  <c r="T18" i="20"/>
  <c r="X18" i="20"/>
  <c r="X19" i="20"/>
  <c r="X20" i="20"/>
  <c r="AA12" i="21"/>
  <c r="V16" i="16"/>
  <c r="V10" i="16"/>
  <c r="V12" i="16"/>
  <c r="V19" i="16"/>
  <c r="T19" i="20"/>
  <c r="V16" i="20"/>
  <c r="V23" i="20" s="1"/>
  <c r="X25" i="16"/>
  <c r="X30" i="16" s="1"/>
  <c r="R13" i="17"/>
  <c r="S13" i="17" s="1"/>
  <c r="AS14" i="8"/>
  <c r="AS31" i="8" s="1"/>
  <c r="H13" i="10"/>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0" i="7"/>
  <c r="H25" i="7"/>
  <c r="AM16" i="11"/>
  <c r="AN20" i="11"/>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X13" i="17" l="1"/>
  <c r="AA17" i="16"/>
  <c r="AA25" i="16"/>
  <c r="T28" i="11"/>
  <c r="T19" i="11"/>
  <c r="R22" i="14"/>
  <c r="R11" i="14"/>
  <c r="S21" i="14"/>
  <c r="V21" i="14" s="1"/>
  <c r="S10" i="14"/>
  <c r="V10" i="14" s="1"/>
  <c r="X22" i="16"/>
  <c r="X12" i="16"/>
  <c r="X9" i="16"/>
  <c r="X31" i="16" s="1"/>
  <c r="AZ28" i="11"/>
  <c r="S22" i="17"/>
  <c r="X17" i="20"/>
  <c r="U10" i="21"/>
  <c r="X11" i="17"/>
  <c r="X21" i="17"/>
  <c r="X17" i="17"/>
  <c r="X25" i="17"/>
  <c r="T16" i="11"/>
  <c r="S9" i="14"/>
  <c r="V9" i="14" s="1"/>
  <c r="T11" i="11"/>
  <c r="T25" i="11"/>
  <c r="T13" i="11"/>
  <c r="R29" i="14"/>
  <c r="R19" i="14"/>
  <c r="R12" i="14"/>
  <c r="S29" i="14"/>
  <c r="V29" i="14" s="1"/>
  <c r="S19" i="14"/>
  <c r="V19" i="14" s="1"/>
  <c r="AZ21" i="11"/>
  <c r="V22" i="11"/>
  <c r="V29" i="11"/>
  <c r="BH28" i="16"/>
  <c r="S28" i="14"/>
  <c r="V28" i="14" s="1"/>
  <c r="BI18" i="11"/>
  <c r="BH20" i="11"/>
  <c r="V28" i="11"/>
  <c r="BK25" i="11"/>
  <c r="BM25" i="11"/>
  <c r="Q10" i="21"/>
  <c r="BI10" i="11"/>
  <c r="BG29" i="11"/>
  <c r="S9" i="17"/>
  <c r="AZ29" i="11"/>
  <c r="S18" i="16"/>
  <c r="BF25" i="11"/>
  <c r="BK12" i="11"/>
  <c r="BI28" i="11"/>
  <c r="BL18" i="11"/>
  <c r="BJ19" i="11"/>
  <c r="BF19" i="11"/>
  <c r="BH18" i="16"/>
  <c r="BL9" i="11"/>
  <c r="BH21" i="16"/>
  <c r="BF11" i="11"/>
  <c r="K9" i="12"/>
  <c r="BH9" i="16"/>
  <c r="V16" i="11"/>
  <c r="BF13" i="11"/>
  <c r="BG25" i="11"/>
  <c r="BH16" i="16"/>
  <c r="Q18" i="20"/>
  <c r="Q23" i="20" s="1"/>
  <c r="BF28" i="11"/>
  <c r="BF18" i="11"/>
  <c r="BG20" i="11"/>
  <c r="BG22" i="11"/>
  <c r="BK29" i="11"/>
  <c r="AZ19" i="11"/>
  <c r="BK21" i="11"/>
  <c r="V11" i="11"/>
  <c r="BI25" i="11"/>
  <c r="BM12" i="11"/>
  <c r="V13" i="11"/>
  <c r="V9" i="11"/>
  <c r="BI19" i="11"/>
  <c r="BJ16" i="11"/>
  <c r="AP22" i="20"/>
  <c r="AP16" i="20"/>
  <c r="AZ13" i="11"/>
  <c r="V20" i="11"/>
  <c r="BL25" i="11"/>
  <c r="P25" i="11" s="1"/>
  <c r="BG19" i="11"/>
  <c r="AZ9" i="11"/>
  <c r="AP26" i="21"/>
  <c r="BM20" i="11"/>
  <c r="AP18" i="20"/>
  <c r="BJ28" i="11"/>
  <c r="BG21" i="11"/>
  <c r="BU28" i="17"/>
  <c r="BU25" i="17"/>
  <c r="BU11" i="17"/>
  <c r="BV28" i="16"/>
  <c r="BW9" i="20"/>
  <c r="BV13" i="16"/>
  <c r="BU21" i="17"/>
  <c r="BW13" i="20"/>
  <c r="BV17" i="16"/>
  <c r="BV21" i="16"/>
  <c r="BW17" i="20"/>
  <c r="BU29" i="17"/>
  <c r="BV25" i="16"/>
  <c r="BV11" i="16"/>
  <c r="BW16" i="20"/>
  <c r="BU20" i="17"/>
  <c r="U10" i="17"/>
  <c r="BW29" i="20"/>
  <c r="BV10" i="16"/>
  <c r="BW22" i="20"/>
  <c r="BU18" i="17"/>
  <c r="BV29" i="16"/>
  <c r="S11" i="17"/>
  <c r="BU17" i="17"/>
  <c r="BV20" i="16"/>
  <c r="AZ22" i="11"/>
  <c r="AA20" i="16"/>
  <c r="R28" i="14"/>
  <c r="AZ17" i="11"/>
  <c r="X16" i="17"/>
  <c r="BF20" i="11"/>
  <c r="T17" i="11"/>
  <c r="S16" i="16"/>
  <c r="P16" i="17"/>
  <c r="P23" i="17" s="1"/>
  <c r="P31" i="17" s="1"/>
  <c r="BL20" i="11"/>
  <c r="Q20" i="11" s="1"/>
  <c r="BF12" i="11"/>
  <c r="BL16" i="11"/>
  <c r="BH25" i="16"/>
  <c r="BH21" i="11"/>
  <c r="BK20" i="11"/>
  <c r="AZ25" i="11"/>
  <c r="AZ30" i="11" s="1"/>
  <c r="BJ10" i="11"/>
  <c r="BK17" i="11"/>
  <c r="Q16" i="17"/>
  <c r="BM18" i="11"/>
  <c r="BF16" i="11"/>
  <c r="BH17" i="11"/>
  <c r="BL22" i="11"/>
  <c r="AQ12" i="21"/>
  <c r="BI22" i="11"/>
  <c r="BH25" i="11"/>
  <c r="BK10" i="11"/>
  <c r="BL19" i="11"/>
  <c r="BJ18" i="11"/>
  <c r="BM17" i="11"/>
  <c r="BF21" i="11"/>
  <c r="BF17" i="11"/>
  <c r="BL12" i="11"/>
  <c r="BK11" i="11"/>
  <c r="AP10" i="21"/>
  <c r="BH20" i="16"/>
  <c r="BH22" i="16"/>
  <c r="BJ20" i="11"/>
  <c r="BH13" i="11"/>
  <c r="BH18" i="11"/>
  <c r="T18" i="16"/>
  <c r="BL29" i="11"/>
  <c r="P29" i="11" s="1"/>
  <c r="T16" i="16"/>
  <c r="BW20" i="20"/>
  <c r="BV19" i="16"/>
  <c r="BV18" i="16"/>
  <c r="BW18" i="20"/>
  <c r="BV12" i="16"/>
  <c r="BW12" i="20"/>
  <c r="BV16" i="16"/>
  <c r="BW11" i="20"/>
  <c r="S21" i="17"/>
  <c r="BW28" i="20"/>
  <c r="BU13" i="17"/>
  <c r="BW21" i="20"/>
  <c r="BV9" i="16"/>
  <c r="AA29" i="16"/>
  <c r="AA18" i="16"/>
  <c r="AZ12" i="11"/>
  <c r="AZ11" i="11"/>
  <c r="Q18" i="17"/>
  <c r="BH10" i="11"/>
  <c r="AQ10" i="21"/>
  <c r="AO29" i="17"/>
  <c r="S10" i="17"/>
  <c r="BI29" i="11"/>
  <c r="BG17" i="11"/>
  <c r="Q17" i="11" s="1"/>
  <c r="BM21" i="11"/>
  <c r="P21" i="11" s="1"/>
  <c r="AO25" i="17"/>
  <c r="BJ17" i="11"/>
  <c r="BI21" i="11"/>
  <c r="L22" i="2"/>
  <c r="L29" i="2"/>
  <c r="L16" i="2"/>
  <c r="L17" i="2"/>
  <c r="X19" i="16"/>
  <c r="L18" i="2"/>
  <c r="L20" i="2"/>
  <c r="AA11" i="16"/>
  <c r="L21" i="2"/>
  <c r="AA9" i="16"/>
  <c r="V9" i="16"/>
  <c r="AP17" i="20"/>
  <c r="BJ22" i="11"/>
  <c r="BG10" i="11"/>
  <c r="V11" i="16"/>
  <c r="V25" i="11"/>
  <c r="BF10" i="11"/>
  <c r="AZ18" i="11"/>
  <c r="AP21" i="20"/>
  <c r="BJ11" i="11"/>
  <c r="R10" i="21"/>
  <c r="R14" i="21" s="1"/>
  <c r="R31" i="21" s="1"/>
  <c r="BG16" i="11"/>
  <c r="BL13" i="11"/>
  <c r="BM16" i="11"/>
  <c r="AO28" i="17"/>
  <c r="BJ25" i="11"/>
  <c r="AZ16" i="11"/>
  <c r="AZ23" i="11" s="1"/>
  <c r="AZ26" i="11" s="1"/>
  <c r="BU16" i="17"/>
  <c r="BW19" i="20"/>
  <c r="X20" i="16"/>
  <c r="BU10" i="17"/>
  <c r="BW25" i="20"/>
  <c r="BW33" i="20" s="1"/>
  <c r="BU22" i="17"/>
  <c r="X21" i="16"/>
  <c r="BU9" i="17"/>
  <c r="BU19" i="17"/>
  <c r="BW10" i="20"/>
  <c r="BV22" i="16"/>
  <c r="BU12" i="17"/>
  <c r="S25" i="17"/>
  <c r="AZ20" i="11"/>
  <c r="BG12" i="11"/>
  <c r="Q12" i="11" s="1"/>
  <c r="BI9" i="11"/>
  <c r="BL10" i="11"/>
  <c r="BH11" i="11"/>
  <c r="BM9" i="11"/>
  <c r="Q9" i="11" s="1"/>
  <c r="BK22" i="11"/>
  <c r="L28" i="2"/>
  <c r="X21" i="20"/>
  <c r="S16" i="17"/>
  <c r="L12" i="2"/>
  <c r="L13" i="2"/>
  <c r="U9" i="17"/>
  <c r="U31" i="17" s="1"/>
  <c r="X13" i="16"/>
  <c r="S11" i="14"/>
  <c r="V11" i="14" s="1"/>
  <c r="BI20" i="11"/>
  <c r="BL28" i="11"/>
  <c r="BH10" i="16"/>
  <c r="S18" i="17"/>
  <c r="BH12" i="16"/>
  <c r="BL17" i="11"/>
  <c r="BH22" i="11"/>
  <c r="L10" i="2"/>
  <c r="S17" i="17"/>
  <c r="L25" i="2"/>
  <c r="X10" i="21"/>
  <c r="X31" i="21" s="1"/>
  <c r="L19" i="2"/>
  <c r="L9" i="2"/>
  <c r="V25" i="16"/>
  <c r="BF23" i="13"/>
  <c r="I16" i="12"/>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S23" i="16"/>
  <c r="S31" i="16" s="1"/>
  <c r="AO28" i="11"/>
  <c r="J20" i="12"/>
  <c r="J28" i="10"/>
  <c r="L28" i="10" s="1"/>
  <c r="J19" i="12"/>
  <c r="AL28" i="11"/>
  <c r="I9" i="12"/>
  <c r="H26" i="3"/>
  <c r="I26" i="3" s="1"/>
  <c r="D26" i="3"/>
  <c r="E26" i="3" s="1"/>
  <c r="J19" i="7"/>
  <c r="E26" i="12"/>
  <c r="C26" i="7"/>
  <c r="BD19" i="8"/>
  <c r="H19" i="7" s="1"/>
  <c r="BE19" i="8"/>
  <c r="I19" i="7" s="1"/>
  <c r="BG19" i="8"/>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BV14" i="16"/>
  <c r="D31" i="12"/>
  <c r="I18" i="12"/>
  <c r="BE14" i="8"/>
  <c r="Q21" i="11"/>
  <c r="Q29" i="11"/>
  <c r="Q10" i="11"/>
  <c r="D11" i="6"/>
  <c r="E11" i="3"/>
  <c r="BC26" i="8"/>
  <c r="BF26" i="8" s="1"/>
  <c r="R16" i="14"/>
  <c r="BH17" i="16"/>
  <c r="AO27" i="17"/>
  <c r="AM18" i="11"/>
  <c r="BI17" i="11"/>
  <c r="BI13" i="11"/>
  <c r="BG18" i="11"/>
  <c r="BI11" i="11"/>
  <c r="BH28" i="11"/>
  <c r="AP20" i="20"/>
  <c r="S26" i="11"/>
  <c r="J29" i="7"/>
  <c r="H29" i="7"/>
  <c r="E29" i="6"/>
  <c r="K29" i="12" s="1"/>
  <c r="L29" i="14"/>
  <c r="D29" i="6"/>
  <c r="J29" i="12" s="1"/>
  <c r="I29" i="7"/>
  <c r="AV26" i="21"/>
  <c r="AR26" i="11"/>
  <c r="P31" i="8"/>
  <c r="BM26" i="16"/>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O12" i="11"/>
  <c r="H32" i="17"/>
  <c r="AW32" i="11"/>
  <c r="AV32" i="21"/>
  <c r="P9" i="11" l="1"/>
  <c r="AQ17" i="11"/>
  <c r="BJ23" i="11"/>
  <c r="BV23" i="16"/>
  <c r="BV26" i="16" s="1"/>
  <c r="BV30" i="16" s="1"/>
  <c r="P17" i="11"/>
  <c r="BK23" i="11"/>
  <c r="P13" i="11"/>
  <c r="Q13" i="11"/>
  <c r="AZ14" i="11"/>
  <c r="AZ31" i="11"/>
  <c r="BI23" i="11"/>
  <c r="U14" i="17"/>
  <c r="P20" i="11"/>
  <c r="Q25" i="11"/>
  <c r="BK14" i="11"/>
  <c r="BK31" i="11" s="1"/>
  <c r="Q23" i="17"/>
  <c r="Q31" i="17" s="1"/>
  <c r="S26" i="14"/>
  <c r="K22" i="12"/>
  <c r="AF31" i="11"/>
  <c r="AE31" i="11"/>
  <c r="I21" i="12"/>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X32" i="21"/>
  <c r="AY32" i="21"/>
  <c r="Z32" i="17"/>
  <c r="AK32" i="16"/>
  <c r="AC32" i="21"/>
  <c r="AL32" i="11"/>
  <c r="T32" i="16"/>
  <c r="P32" i="17"/>
  <c r="BD32" i="21"/>
  <c r="AO32" i="21"/>
  <c r="V32" i="20"/>
  <c r="AA32" i="16"/>
  <c r="E32" i="11"/>
  <c r="AF32" i="16"/>
  <c r="AA32" i="17"/>
  <c r="X32" i="17"/>
  <c r="U32" i="11"/>
  <c r="AH32" i="17"/>
  <c r="AK32" i="21"/>
  <c r="U32" i="17"/>
  <c r="Q32" i="17"/>
  <c r="V32" i="21"/>
  <c r="E32" i="12"/>
  <c r="AD32" i="21"/>
  <c r="Y32" i="21"/>
  <c r="Y32" i="17"/>
  <c r="P32" i="21"/>
  <c r="W32" i="11"/>
  <c r="K32" i="21"/>
  <c r="BA32" i="16"/>
  <c r="AN32" i="17"/>
  <c r="X32" i="11"/>
  <c r="BC32" i="16"/>
  <c r="AZ32" i="11"/>
  <c r="AF32" i="11"/>
  <c r="Q32" i="11"/>
  <c r="U32" i="20"/>
  <c r="BH32" i="16"/>
  <c r="AO32" i="11"/>
  <c r="J32" i="21"/>
  <c r="O32" i="21"/>
  <c r="AG32" i="11"/>
  <c r="AE32" i="16"/>
  <c r="I32" i="12"/>
  <c r="AA32" i="21"/>
  <c r="Q32" i="16"/>
  <c r="Z32" i="21"/>
  <c r="P32" i="16"/>
  <c r="J32" i="16"/>
  <c r="S32" i="21"/>
  <c r="AC32" i="16"/>
  <c r="W32" i="16"/>
  <c r="U32" i="16"/>
  <c r="AS32" i="21"/>
  <c r="AB32" i="16"/>
  <c r="AI32" i="11"/>
  <c r="S32" i="16"/>
  <c r="E32" i="21"/>
  <c r="D32" i="12"/>
  <c r="L32" i="21"/>
  <c r="Y32" i="11"/>
  <c r="AK32" i="17"/>
  <c r="Z32" i="16"/>
  <c r="AW32" i="21"/>
  <c r="O32" i="16"/>
  <c r="H32" i="12"/>
  <c r="BE32" i="16"/>
  <c r="AT32" i="16"/>
  <c r="AI32" i="21"/>
  <c r="AE32" i="11"/>
  <c r="BM32" i="16"/>
  <c r="I32" i="21"/>
  <c r="AB32" i="17"/>
  <c r="BS32" i="16"/>
  <c r="F32" i="21"/>
  <c r="AR32" i="21"/>
  <c r="M32" i="17"/>
  <c r="AL32" i="17"/>
  <c r="AK32" i="11"/>
  <c r="H32" i="16"/>
  <c r="L32" i="16"/>
  <c r="AU32" i="16"/>
  <c r="AN32" i="11"/>
  <c r="N32" i="11"/>
  <c r="AU32" i="11"/>
  <c r="AG32" i="17"/>
  <c r="AR32" i="11"/>
  <c r="Z32" i="11"/>
  <c r="AS32" i="17"/>
  <c r="BQ32" i="16"/>
  <c r="G32" i="12"/>
  <c r="AM32" i="21"/>
  <c r="E32" i="17"/>
  <c r="AM32" i="16"/>
  <c r="AV32" i="11"/>
  <c r="AR32" i="16"/>
  <c r="F32" i="17"/>
  <c r="AH32" i="21"/>
  <c r="AS32" i="16"/>
  <c r="I32" i="11"/>
  <c r="AV32" i="16"/>
  <c r="AJ32" i="21"/>
  <c r="F31" i="2" l="1"/>
  <c r="BM31" i="11"/>
  <c r="AQ32" i="17"/>
  <c r="BL32" i="16"/>
  <c r="AQ32" i="11"/>
  <c r="AT32" i="21"/>
  <c r="AP32"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<sst xmlns="http://schemas.openxmlformats.org/spreadsheetml/2006/main" count="2682" uniqueCount="1193">
  <si>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</si>
  <si>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</si>
  <si>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</si>
  <si>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</si>
  <si>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</si>
  <si>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</si>
  <si>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</si>
  <si>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</si>
  <si>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</si>
  <si>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</si>
  <si>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</si>
  <si>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</si>
  <si>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</si>
  <si>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</si>
  <si>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</si>
  <si>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</si>
  <si>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</si>
  <si>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</si>
  <si>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</si>
  <si>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</si>
  <si>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</si>
  <si>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</si>
  <si>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</si>
  <si>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</si>
  <si>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</si>
  <si>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</si>
  <si>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</si>
  <si>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</si>
  <si>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</si>
  <si>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</si>
  <si>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</si>
  <si>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</si>
  <si>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</si>
  <si>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</si>
  <si>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</si>
  <si>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</si>
  <si>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</si>
  <si>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</si>
  <si>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</si>
  <si>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</si>
  <si>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</si>
  <si>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</si>
  <si>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</si>
  <si>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</si>
  <si>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</si>
  <si>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</si>
  <si>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</si>
  <si>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</si>
  <si>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</si>
  <si>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</si>
  <si>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</si>
  <si>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</si>
  <si>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</si>
  <si>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</si>
  <si>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</si>
  <si>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</si>
  <si>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</si>
  <si>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</si>
  <si>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</si>
  <si>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</si>
  <si>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</si>
  <si>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</si>
  <si>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</si>
  <si>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</si>
  <si>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</si>
  <si>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</si>
  <si>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</si>
  <si>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</si>
  <si>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</si>
  <si>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</si>
  <si>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</si>
  <si>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</si>
  <si>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</si>
  <si>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</si>
  <si>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</si>
  <si>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</si>
  <si>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</si>
  <si>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</si>
  <si>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</si>
  <si>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</si>
  <si>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</si>
  <si>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</si>
  <si>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</si>
  <si>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</si>
  <si>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</si>
  <si>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</si>
  <si>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</si>
  <si>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</si>
  <si>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</si>
  <si>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</si>
  <si>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</si>
  <si>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</si>
  <si>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</si>
  <si>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</si>
  <si>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</si>
  <si>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</si>
  <si>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</si>
  <si>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</si>
  <si>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</si>
  <si>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</si>
  <si>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</si>
  <si>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</si>
  <si>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</si>
  <si>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</si>
  <si>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</si>
  <si>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</si>
  <si>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</si>
  <si>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</si>
  <si>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</si>
  <si>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</si>
  <si>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</si>
  <si>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</si>
  <si>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</si>
  <si>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</si>
  <si>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</si>
  <si>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</si>
  <si>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</si>
  <si>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</si>
  <si>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</si>
  <si>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</si>
  <si>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</si>
  <si>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</si>
  <si>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</si>
  <si>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</si>
  <si>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</si>
  <si>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</si>
  <si>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</si>
  <si>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</si>
  <si>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</si>
  <si>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</si>
  <si>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</si>
  <si>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</si>
  <si>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</si>
  <si>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</si>
  <si>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</si>
  <si>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</si>
  <si>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</si>
  <si>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</si>
  <si>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</si>
  <si>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</si>
  <si>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</si>
  <si>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</si>
  <si>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</si>
  <si>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</si>
  <si>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</si>
  <si>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</si>
  <si>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</si>
  <si>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</si>
  <si>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</si>
  <si>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</si>
  <si>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</si>
  <si>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</si>
  <si>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</si>
  <si>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</si>
  <si>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</si>
  <si>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</si>
  <si>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</si>
  <si>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</si>
  <si>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</si>
  <si>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</si>
  <si>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</si>
  <si>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</si>
  <si>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</si>
  <si>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</si>
  <si>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</si>
  <si>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</si>
  <si>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</si>
  <si>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</si>
  <si>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</si>
  <si>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</si>
  <si>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</si>
  <si>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</si>
  <si>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</si>
  <si>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</si>
  <si>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</si>
  <si>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</si>
  <si>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</si>
  <si>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</si>
  <si>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</si>
  <si>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</si>
  <si>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</si>
  <si>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</si>
  <si>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</si>
  <si>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</si>
  <si>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</si>
  <si>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</si>
  <si>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</si>
  <si>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</si>
  <si>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</si>
  <si>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</si>
  <si>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</si>
  <si>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</si>
  <si>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</si>
  <si>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</si>
  <si>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</si>
  <si>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</si>
  <si>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</si>
  <si>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</si>
  <si>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</si>
  <si>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</si>
  <si>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</si>
  <si>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</si>
  <si>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</si>
  <si>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</si>
  <si>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</si>
  <si>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</si>
  <si>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</si>
  <si>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</si>
  <si>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</si>
  <si>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</si>
  <si>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</si>
  <si>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</si>
  <si>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</si>
  <si>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</si>
  <si>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</si>
  <si>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</si>
  <si>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</si>
  <si>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</si>
  <si>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</si>
  <si>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</si>
  <si>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</si>
  <si>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</si>
  <si>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</si>
  <si>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</si>
  <si>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</si>
  <si>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</si>
  <si>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</si>
  <si>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</si>
  <si>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</si>
  <si>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</si>
  <si>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</si>
  <si>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</si>
  <si>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</si>
  <si>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</si>
  <si>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</si>
  <si>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</si>
  <si>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</si>
  <si>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</si>
  <si>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</si>
  <si>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</si>
  <si>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</si>
  <si>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</si>
  <si>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</si>
  <si>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</si>
  <si>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</si>
  <si>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</si>
  <si>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</si>
  <si>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</si>
  <si>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</si>
  <si>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</si>
  <si>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</si>
  <si>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</si>
  <si>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</si>
  <si>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</si>
  <si>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</si>
  <si>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</si>
  <si>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</si>
  <si>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</si>
  <si>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</si>
  <si>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</si>
  <si>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</si>
  <si>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</si>
  <si>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</si>
  <si>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</si>
  <si>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</si>
  <si>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</si>
  <si>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</si>
  <si>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</si>
  <si>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</si>
  <si>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</si>
  <si>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</si>
  <si>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</si>
  <si>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</si>
  <si>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</si>
  <si>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</si>
  <si>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</si>
  <si>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</si>
  <si>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</si>
  <si>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</si>
  <si>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</si>
  <si>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</si>
  <si>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</si>
  <si>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</si>
  <si>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</si>
  <si>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</si>
  <si>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</si>
  <si>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</si>
  <si>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</si>
  <si>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</si>
  <si>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</si>
  <si>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</si>
  <si>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</si>
  <si>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</si>
  <si>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</si>
  <si>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</si>
  <si>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</si>
  <si>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</si>
  <si>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</si>
  <si>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</si>
  <si>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</si>
  <si>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</si>
  <si>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</si>
  <si>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</si>
  <si>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</si>
  <si>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</si>
  <si>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</si>
  <si>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</si>
  <si>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</si>
  <si>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</si>
  <si>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</si>
  <si>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</si>
  <si>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</si>
  <si>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</si>
  <si>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</si>
  <si>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</si>
  <si>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</si>
  <si>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</si>
  <si>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</si>
  <si>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</si>
  <si>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</si>
  <si>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</si>
  <si>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</si>
  <si>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</si>
  <si>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</si>
  <si>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</si>
  <si>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</si>
  <si>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</si>
  <si>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</si>
  <si>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</si>
  <si>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</si>
  <si>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</si>
  <si>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</si>
  <si>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</si>
  <si>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</si>
  <si>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</si>
  <si>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</si>
  <si>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</si>
  <si>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</si>
  <si>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</si>
  <si>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</si>
  <si>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</si>
  <si>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</si>
  <si>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</si>
  <si>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</si>
  <si>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</si>
  <si>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</si>
  <si>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</si>
  <si>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</si>
  <si>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</si>
  <si>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</si>
  <si>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</si>
  <si>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</si>
  <si>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</si>
  <si>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</si>
  <si>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</si>
  <si>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</si>
  <si>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</si>
  <si>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</si>
  <si>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</si>
  <si>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</si>
  <si>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</si>
  <si>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</si>
  <si>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</si>
  <si>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</si>
  <si>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</si>
  <si>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</si>
  <si>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</si>
  <si>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</si>
  <si>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</si>
  <si>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</si>
  <si>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</si>
  <si>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</si>
  <si>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</si>
  <si>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</si>
  <si>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</si>
  <si>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</si>
  <si>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</si>
  <si>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</si>
  <si>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</si>
  <si>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</si>
  <si>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</si>
  <si>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</si>
  <si>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</si>
  <si>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</si>
  <si>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</si>
  <si>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</si>
  <si>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</si>
  <si>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</si>
  <si>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</si>
  <si>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</si>
  <si>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</si>
  <si>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</si>
  <si>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</si>
  <si>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</si>
  <si>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</si>
  <si>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</si>
  <si>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</si>
  <si>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</si>
  <si>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</si>
  <si>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</si>
  <si>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</si>
  <si>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</si>
  <si>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</si>
  <si>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</si>
  <si>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</si>
  <si>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</si>
  <si>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</si>
  <si>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</si>
  <si>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</si>
  <si>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</si>
  <si>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</si>
  <si>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</si>
  <si>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</si>
  <si>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</si>
  <si>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</si>
  <si>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</si>
  <si>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</si>
  <si>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</si>
  <si>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</si>
  <si>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</si>
  <si>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</si>
  <si>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</si>
  <si>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</si>
  <si>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</si>
  <si>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</si>
  <si>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</si>
  <si>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</si>
  <si>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</si>
  <si>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</si>
  <si>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</si>
  <si>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</si>
  <si>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</si>
  <si>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</si>
  <si>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</si>
  <si>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</si>
  <si>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</si>
  <si>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</si>
  <si>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</si>
  <si>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</si>
  <si>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</si>
  <si>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</si>
  <si>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</si>
  <si>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</si>
  <si>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</si>
  <si>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</si>
  <si>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</si>
  <si>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</si>
  <si>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</si>
  <si>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</si>
  <si>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</si>
  <si>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</si>
  <si>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</si>
  <si>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</si>
  <si>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</si>
  <si>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</si>
  <si>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</si>
  <si>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</si>
  <si>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</si>
  <si>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</si>
  <si>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</si>
  <si>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</si>
  <si>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</si>
  <si>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</si>
  <si>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</si>
  <si>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</si>
  <si>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</si>
  <si>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</si>
  <si>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</si>
  <si>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</si>
  <si>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</si>
  <si>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</si>
  <si>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</si>
  <si>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</si>
  <si>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</si>
  <si>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</si>
  <si>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</si>
  <si>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</si>
  <si>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</si>
  <si>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</si>
  <si>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</si>
  <si>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</si>
  <si>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</si>
  <si>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</si>
  <si>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</si>
  <si>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</si>
  <si>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</si>
  <si>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</si>
  <si>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</si>
  <si>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</si>
  <si>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</si>
  <si>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</si>
  <si>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</si>
  <si>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</si>
  <si>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</si>
  <si>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</si>
  <si>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</si>
  <si>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</si>
  <si>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</si>
  <si>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</si>
  <si>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</si>
  <si>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</si>
  <si>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</si>
  <si>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</si>
  <si>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</si>
  <si>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</si>
  <si>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</si>
  <si>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</si>
  <si>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</si>
  <si>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</si>
  <si>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</si>
  <si>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</si>
  <si>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</si>
  <si>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</si>
  <si>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</si>
  <si>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</si>
  <si>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</si>
  <si>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</si>
  <si>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</si>
  <si>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</si>
  <si>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</si>
  <si>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</si>
  <si>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</si>
  <si>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</si>
  <si>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</si>
  <si>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</si>
  <si>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</si>
  <si>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</si>
  <si>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</si>
  <si>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</si>
  <si>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</si>
  <si>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</si>
  <si>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</si>
  <si>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</si>
  <si>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</si>
  <si>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</si>
  <si>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</si>
  <si>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</si>
  <si>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</si>
  <si>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</si>
  <si>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</si>
  <si>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</si>
  <si>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</si>
  <si>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</si>
  <si>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</si>
  <si>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</si>
  <si>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</si>
  <si>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</si>
  <si>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</si>
  <si>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</si>
  <si>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</si>
  <si>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</si>
  <si>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</si>
  <si>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</si>
  <si>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</si>
  <si>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</si>
  <si>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</si>
  <si>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</si>
  <si>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</si>
  <si>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</si>
  <si>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</si>
  <si>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</si>
  <si>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</si>
  <si>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</si>
  <si>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</si>
  <si>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</si>
  <si>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</si>
  <si>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</si>
  <si>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</si>
  <si>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</si>
  <si>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</si>
  <si>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</si>
  <si>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</si>
  <si>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</si>
  <si>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</si>
  <si>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</si>
  <si>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</si>
  <si>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</si>
  <si>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</si>
  <si>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</si>
  <si>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</si>
  <si>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</si>
  <si>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</si>
  <si>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</si>
  <si>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</si>
  <si>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</si>
  <si>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</si>
  <si>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</si>
  <si>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</si>
  <si>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</si>
  <si>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</si>
  <si>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</si>
  <si>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</si>
  <si>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</si>
  <si>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</si>
  <si>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</si>
  <si>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</si>
  <si>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</si>
  <si>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</si>
  <si>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</si>
  <si>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</si>
  <si>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</si>
  <si>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</si>
  <si>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</si>
  <si>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</si>
  <si>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</si>
  <si>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</si>
  <si>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</si>
  <si>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</si>
  <si>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</si>
  <si>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</si>
  <si>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</si>
  <si>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</si>
  <si>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</si>
  <si>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</si>
  <si>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</si>
  <si>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</si>
  <si>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</si>
  <si>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</si>
  <si>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</si>
  <si>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</si>
  <si>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</si>
  <si>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</si>
  <si>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</si>
  <si>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</si>
  <si>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</si>
  <si>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</si>
  <si>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</si>
  <si>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</si>
  <si>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</si>
  <si>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</si>
  <si>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</si>
  <si>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</si>
  <si>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</si>
  <si>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</si>
  <si>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</si>
  <si>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</si>
  <si>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</si>
  <si>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</si>
  <si>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</si>
  <si>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</si>
  <si>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</si>
  <si>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</si>
  <si>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</si>
  <si>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</si>
  <si>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</si>
  <si>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</si>
  <si>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</si>
  <si>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</si>
  <si>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</si>
  <si>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</si>
  <si>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</si>
  <si>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</si>
  <si>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</si>
  <si>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</si>
  <si>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</si>
  <si>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</si>
  <si>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</si>
  <si>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</si>
  <si>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</si>
  <si>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</si>
  <si>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</si>
  <si>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</si>
  <si>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</si>
  <si>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</si>
  <si>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</si>
  <si>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</si>
  <si>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</si>
  <si>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</si>
  <si>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</si>
  <si>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</si>
  <si>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</si>
  <si>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</si>
  <si>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</si>
  <si>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</si>
  <si>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</si>
  <si>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</si>
  <si>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</si>
  <si>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</si>
  <si>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</si>
  <si>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</si>
  <si>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</si>
  <si>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</si>
  <si>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</si>
  <si>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</si>
  <si>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</si>
  <si>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</si>
  <si>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</si>
  <si>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</si>
  <si>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</si>
  <si>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</si>
  <si>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</si>
  <si>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</si>
  <si>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</si>
  <si>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</si>
  <si>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</si>
  <si>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</si>
  <si>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</si>
  <si>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</si>
  <si>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</si>
  <si>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</si>
  <si>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</si>
  <si>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</si>
  <si>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</si>
  <si>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</si>
  <si>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</si>
  <si>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</si>
  <si>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</si>
  <si>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</si>
  <si>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</si>
  <si>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</si>
  <si>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</si>
  <si>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</si>
  <si>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</si>
  <si>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</si>
  <si>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</si>
  <si>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</si>
  <si>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</si>
  <si>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</si>
  <si>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</si>
  <si>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</si>
  <si>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</si>
  <si>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</si>
  <si>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</si>
  <si>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</si>
  <si>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</si>
  <si>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</si>
  <si>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</si>
  <si>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</si>
  <si>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</si>
  <si>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</si>
  <si>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</si>
  <si>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</si>
  <si>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</si>
  <si>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</si>
  <si>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</si>
  <si>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</si>
  <si>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</si>
  <si>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</si>
  <si>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</si>
  <si>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</si>
  <si>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</si>
  <si>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</si>
  <si>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</si>
  <si>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</si>
  <si>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</si>
  <si>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</si>
  <si>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</si>
  <si>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</si>
  <si>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</si>
  <si>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</si>
  <si>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</si>
  <si>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</si>
  <si>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</si>
  <si>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</si>
  <si>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</si>
  <si>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</si>
  <si>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</si>
  <si>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</si>
  <si>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</si>
  <si>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</si>
  <si>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</si>
  <si>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</si>
  <si>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</si>
  <si>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</si>
  <si>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</si>
  <si>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</si>
  <si>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</si>
  <si>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</si>
  <si>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</si>
  <si>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</si>
  <si>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</si>
  <si>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</si>
  <si>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</si>
  <si>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</si>
  <si>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</si>
  <si>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</si>
  <si>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</si>
  <si>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</si>
  <si>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</si>
  <si>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</si>
  <si>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</si>
  <si>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</si>
  <si>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</si>
  <si>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</si>
  <si>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</si>
  <si>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</si>
  <si>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</si>
  <si>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</si>
  <si>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</si>
  <si>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</si>
  <si>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</si>
  <si>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</si>
  <si>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</si>
  <si>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</si>
  <si>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</si>
  <si>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</si>
  <si>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</si>
  <si>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</si>
  <si>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</si>
  <si>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</si>
  <si>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</si>
  <si>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</si>
  <si>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</si>
  <si>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</si>
  <si>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</si>
  <si>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</si>
  <si>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</si>
  <si>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</si>
  <si>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</si>
  <si>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</si>
  <si>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</si>
  <si>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</si>
  <si>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</si>
  <si>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</si>
  <si>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</si>
  <si>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</si>
  <si>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</si>
  <si>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</si>
  <si>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</si>
  <si>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</si>
  <si>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</si>
  <si>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</si>
  <si>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</si>
  <si>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</si>
  <si>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</si>
  <si>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</si>
  <si>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</si>
  <si>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</si>
  <si>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</si>
  <si>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</si>
  <si>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</si>
  <si>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</si>
  <si>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</si>
  <si>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</si>
  <si>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</si>
  <si>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</si>
  <si>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</si>
  <si>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</si>
  <si>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</si>
  <si>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</si>
  <si>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</si>
  <si>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</si>
  <si>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</si>
  <si>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</si>
  <si>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</si>
  <si>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</si>
  <si>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</si>
  <si>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</si>
  <si>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</si>
  <si>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</si>
  <si>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</si>
  <si>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</si>
  <si>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</si>
  <si>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</si>
  <si>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</si>
  <si>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</si>
  <si>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</si>
  <si>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</si>
  <si>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</si>
  <si>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</si>
  <si>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</si>
  <si>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</si>
  <si>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</si>
  <si>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</si>
  <si>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</si>
  <si>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</si>
  <si>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</si>
  <si>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</si>
  <si>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</si>
  <si>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</si>
  <si>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</si>
  <si>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</si>
  <si>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</si>
  <si>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</si>
  <si>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</si>
  <si>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</si>
  <si>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</si>
  <si>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</si>
  <si>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</si>
  <si>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</si>
  <si>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</si>
  <si>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</si>
  <si>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</si>
  <si>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</si>
  <si>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</si>
  <si>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</si>
  <si>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</si>
  <si>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</si>
  <si>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</si>
  <si>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</si>
  <si>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</si>
  <si>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</si>
  <si>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</si>
  <si>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</si>
  <si>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</si>
  <si>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</si>
  <si>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</si>
  <si>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</si>
  <si>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</si>
  <si>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</si>
  <si>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</si>
  <si>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</si>
  <si>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</si>
  <si>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</si>
  <si>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</si>
  <si>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</si>
  <si>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</si>
  <si>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</si>
  <si>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</si>
  <si>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</si>
  <si>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</si>
  <si>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</si>
  <si>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</si>
  <si>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</si>
  <si>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</si>
  <si>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</si>
  <si>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</si>
  <si>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</si>
  <si>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</si>
  <si>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</si>
  <si>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</si>
  <si>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</si>
  <si>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</si>
  <si>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</si>
  <si>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</si>
  <si>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</si>
  <si>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</si>
  <si>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</si>
  <si>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</si>
  <si>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</si>
  <si>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</si>
  <si>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</si>
  <si>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</si>
  <si>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</si>
  <si>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</si>
  <si>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</si>
  <si>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</si>
  <si>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</si>
  <si>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</si>
  <si>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</si>
  <si>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</si>
  <si>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</si>
  <si>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</si>
  <si>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</si>
  <si>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</si>
  <si>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</si>
  <si>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</si>
  <si>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</si>
  <si>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</si>
  <si>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</si>
  <si>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</si>
  <si>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</si>
  <si>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</si>
  <si>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</si>
  <si>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</si>
  <si>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</si>
  <si>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</si>
  <si>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</si>
  <si>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</si>
  <si>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</si>
  <si>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</si>
  <si>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</si>
  <si>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</si>
  <si>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</si>
  <si>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</si>
  <si>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</si>
  <si>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</si>
  <si>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</si>
  <si>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</si>
  <si>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</si>
  <si>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</si>
  <si>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</si>
  <si>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</si>
  <si>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</si>
  <si>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</si>
  <si>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</si>
  <si>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</si>
  <si>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</si>
  <si>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</si>
  <si>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</si>
  <si>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</si>
  <si>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</si>
  <si>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</si>
  <si>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</si>
  <si>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</si>
  <si>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</si>
  <si>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</si>
  <si>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</si>
  <si>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</si>
  <si>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</si>
  <si>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</si>
  <si>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</si>
  <si>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</si>
  <si>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</si>
  <si>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</si>
  <si>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</si>
  <si>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</si>
  <si>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</si>
  <si>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</si>
  <si>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</si>
  <si>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</si>
  <si>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</si>
  <si>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</si>
  <si>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</si>
  <si>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</si>
  <si>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</si>
  <si>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</si>
  <si>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</si>
  <si>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</si>
  <si>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</si>
  <si>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</si>
  <si>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</si>
  <si>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</si>
  <si>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</si>
  <si>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</si>
  <si>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</si>
  <si>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</si>
  <si>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</si>
  <si>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</si>
  <si>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</si>
  <si>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</si>
  <si>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</si>
  <si>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</si>
  <si>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</si>
  <si>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</si>
  <si>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</si>
  <si>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</si>
  <si>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</si>
  <si>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</si>
  <si>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</si>
  <si>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</si>
  <si>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</si>
  <si>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</si>
  <si>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</si>
  <si>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</si>
  <si>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</si>
  <si>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</si>
  <si>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</si>
  <si>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</si>
  <si>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</si>
  <si>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</si>
  <si>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</si>
  <si>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</si>
  <si>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</si>
  <si>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</si>
  <si>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</si>
  <si>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</si>
  <si>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</si>
  <si>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</si>
  <si>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</si>
  <si>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</si>
  <si>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</si>
  <si>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</si>
  <si>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</si>
  <si>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</si>
  <si>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</si>
  <si>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</si>
  <si>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</si>
  <si>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</si>
  <si>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</si>
  <si>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</si>
  <si>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</si>
  <si>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</si>
  <si>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</si>
  <si>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</si>
  <si>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</si>
  <si>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</si>
  <si>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</si>
  <si>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</si>
  <si>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</si>
  <si>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</si>
  <si>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</si>
  <si>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</si>
  <si>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</si>
  <si>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</si>
  <si>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</si>
  <si>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</si>
  <si>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</si>
  <si>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</si>
  <si>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</si>
  <si>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</si>
  <si>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</si>
  <si>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</si>
  <si>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</si>
  <si>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</si>
  <si>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</si>
  <si>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</si>
  <si>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</si>
  <si>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</si>
  <si>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</si>
  <si>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</si>
  <si>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</si>
  <si>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</si>
  <si>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</si>
  <si>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</si>
  <si>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</si>
  <si>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</si>
  <si>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</si>
  <si>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</si>
  <si>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</si>
  <si>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</si>
  <si>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</si>
  <si>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</si>
  <si>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</si>
  <si>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</si>
  <si>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</si>
  <si>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</si>
  <si>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</si>
  <si>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</si>
  <si>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</si>
  <si>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</si>
  <si>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</si>
  <si>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</si>
  <si>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</si>
  <si>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</si>
  <si>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</si>
  <si>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</si>
  <si>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</si>
  <si>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</si>
  <si>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</si>
  <si>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</si>
  <si>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</si>
  <si>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</si>
  <si>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</si>
  <si>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</si>
  <si>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</si>
  <si>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</si>
  <si>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</si>
  <si>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</si>
  <si>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</si>
  <si>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</si>
  <si>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</si>
  <si>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</si>
  <si>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</si>
  <si>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</si>
  <si>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</si>
  <si>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</si>
  <si>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</si>
  <si>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</si>
  <si>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</si>
  <si>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</si>
  <si>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</si>
  <si>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</si>
  <si>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</si>
  <si>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</si>
  <si>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</si>
  <si>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</si>
  <si>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</si>
  <si>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</si>
  <si>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</si>
  <si>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</si>
  <si>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</si>
  <si>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</si>
  <si>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</si>
  <si>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</si>
  <si>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</si>
  <si>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</si>
  <si>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</si>
  <si>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</si>
  <si>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</si>
  <si>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</si>
  <si>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</si>
  <si>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</si>
  <si>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</si>
  <si>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</si>
  <si>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</si>
  <si>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</si>
  <si>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</si>
  <si>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</si>
  <si>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</si>
  <si>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</si>
  <si>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</si>
  <si>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</si>
  <si>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</si>
  <si>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</si>
  <si>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</si>
  <si>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</si>
  <si>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</si>
  <si>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</si>
  <si>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</si>
  <si>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</si>
  <si>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</si>
  <si>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</si>
  <si>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</si>
  <si>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</si>
  <si>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</si>
  <si>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</si>
  <si>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</si>
  <si>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CANARIAS</t>
  </si>
  <si>
    <t>Provincias</t>
  </si>
  <si>
    <t>SANTA CRUZ DE TENERIFE</t>
  </si>
  <si>
    <t>Resumenes por Partidos Judiciales</t>
  </si>
  <si>
    <t>VALVERDE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</si>
</sst>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RS/IWv2e0xaUmA45xkk3LHLbk21+iQ6srRL1aZXYs76yzohm4cx4uGFW2LjgZQ6vjgVNzZHudnTZTZ+fGb3jg==" saltValue="grPtRLwtZmr8f9L7ZvDRC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CANARIAS</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2</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13.121428571428572</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133</v>
      </c>
      <c r="D17" s="239">
        <f>IF(ISNUMBER(IF(D_I="SI",Datos!I17,Datos!I17+Datos!AC17)),IF(D_I="SI",Datos!I17,Datos!I17+Datos!AC17)," - ")</f>
        <v>124</v>
      </c>
      <c r="E17" s="240">
        <f>IF(ISNUMBER(IF(D_I="SI",Datos!J17,Datos!J17+Datos!AD17)),IF(D_I="SI",Datos!J17,Datos!J17+Datos!AD17)," - ")</f>
        <v>325</v>
      </c>
      <c r="F17" s="240">
        <f>IF(ISNUMBER(IF(D_I="SI",Datos!K17,Datos!K17+Datos!AE17)),IF(D_I="SI",Datos!K17,Datos!K17+Datos!AE17)," - ")</f>
        <v>364</v>
      </c>
      <c r="G17" s="1390" t="str">
        <f>IF(Datos!E17&lt;&gt;"",Datos!E17,Datos!D17)</f>
        <v>04</v>
      </c>
      <c r="H17" s="241">
        <f>IF(ISNUMBER(IF(D_I="SI",Datos!L17,Datos!L17+Datos!AF17)),IF(D_I="SI",Datos!L17,Datos!L17+Datos!AF17)," - ")</f>
        <v>94</v>
      </c>
      <c r="I17" s="1400" t="str">
        <f>IF(ISNUMBER(Datos!AS17/Datos!BM17),Datos!AS17/Datos!BM17," - ")</f>
        <v xml:space="preserve"> - </v>
      </c>
      <c r="J17" s="1401">
        <f>IF(ISNUMBER(Datos!BY17/Datos!CN17),Datos!BY17/Datos!CN17," - ")</f>
        <v>0</v>
      </c>
      <c r="K17" s="244">
        <f t="shared" si="3"/>
        <v>-0.2932330827067669</v>
      </c>
      <c r="L17" s="1402">
        <f>IF(ISNUMBER(NºAsuntos!I17/NºAsuntos!G17),(NºAsuntos!I17/NºAsuntos!G17)*11," - ")</f>
        <v>2.8406593406593408</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4</v>
      </c>
      <c r="D18" s="239">
        <f>IF(ISNUMBER(IF(D_I="SI",Datos!I18,Datos!I18+Datos!AC18)),IF(D_I="SI",Datos!I18,Datos!I18+Datos!AC18)," - ")</f>
        <v>4</v>
      </c>
      <c r="E18" s="240">
        <f>IF(ISNUMBER(IF(D_I="SI",Datos!J18,Datos!J18+Datos!AD18)),IF(D_I="SI",Datos!J18,Datos!J18+Datos!AD18)," - ")</f>
        <v>17</v>
      </c>
      <c r="F18" s="240">
        <f>IF(ISNUMBER(IF(D_I="SI",Datos!K18,Datos!K18+Datos!AE18)),IF(D_I="SI",Datos!K18,Datos!K18+Datos!AE18)," - ")</f>
        <v>21</v>
      </c>
      <c r="G18" s="1390" t="str">
        <f>IF(Datos!E18&lt;&gt;"",Datos!E18,Datos!D18)</f>
        <v>37</v>
      </c>
      <c r="H18" s="241">
        <f>IF(ISNUMBER(IF(D_I="SI",Datos!L18,Datos!L18+Datos!AF18)),IF(D_I="SI",Datos!L18,Datos!L18+Datos!AF18)," - ")</f>
        <v>0</v>
      </c>
      <c r="I18" s="1400" t="str">
        <f>IF(ISNUMBER(Datos!AS18/Datos!BM18),Datos!AS18/Datos!BM18," - ")</f>
        <v xml:space="preserve"> - </v>
      </c>
      <c r="J18" s="1401" t="str">
        <f>IF(ISNUMBER((Datos!BY18+Datos!BZ18)/Datos!CN18),(Datos!BY18+Datos!BZ18)/Datos!CN18," - ")</f>
        <v xml:space="preserve"> - </v>
      </c>
      <c r="K18" s="244">
        <f t="shared" si="3"/>
        <v>-1</v>
      </c>
      <c r="L18" s="1402">
        <f>IF(ISNUMBER(NºAsuntos!I18/NºAsuntos!G18),(NºAsuntos!I18/NºAsuntos!G18)*11," - ")</f>
        <v>0</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137</v>
      </c>
      <c r="D23" s="1407">
        <f>SUBTOTAL(9,D16:D22)</f>
        <v>128</v>
      </c>
      <c r="E23" s="1408">
        <f>SUBTOTAL(9,E16:E22)</f>
        <v>342</v>
      </c>
      <c r="F23" s="1408">
        <f>SUBTOTAL(9,F16:F22)</f>
        <v>385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137</v>
      </c>
      <c r="D31" s="1435">
        <f>SUBTOTAL(9,D9:D30)</f>
        <v>128</v>
      </c>
      <c r="E31" s="1436">
        <f>SUBTOTAL(9,E9:E30)</f>
        <v>344</v>
      </c>
      <c r="F31" s="1436">
        <f>SUBTOTAL(9,F9:F30)</f>
        <v>385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gvQ4C9WOK7QX1QfadDq0kRXJlPDuL/5qCBWpbWv58KZsqghxtGTwdMREWVo04RHMT2sC/OrJcYJjdNn1DwhQQQ==" saltValue="F6fu7b9ro/Gn08sglKhGQw=="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ZPCzmGSntGr1USwX5LBFXjbflYYdO0YOHMv7wXl9q1iV99wdrYl8e1Pa8Vz1DznhkMCsx7LR1EWvXsZdBBO1A==" saltValue="hYUyZt0OM+SoX35JE79d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2</v>
      </c>
      <c r="K10" s="194">
        <v>0</v>
      </c>
      <c r="L10" s="194">
        <v>2</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284</v>
      </c>
      <c r="J12" s="196">
        <v>364</v>
      </c>
      <c r="K12" s="196">
        <v>262</v>
      </c>
      <c r="L12" s="196">
        <v>333</v>
      </c>
      <c r="M12" s="196">
        <v>69</v>
      </c>
      <c r="N12" s="196">
        <v>75</v>
      </c>
      <c r="O12" s="194">
        <v>57</v>
      </c>
      <c r="P12" s="196">
        <v>96</v>
      </c>
      <c r="Q12" s="196">
        <v>9</v>
      </c>
      <c r="R12" s="196">
        <v>403</v>
      </c>
      <c r="S12" s="196">
        <v>289</v>
      </c>
      <c r="T12" s="196">
        <v>319</v>
      </c>
      <c r="U12" s="196">
        <v>343</v>
      </c>
      <c r="V12" s="196">
        <v>284</v>
      </c>
      <c r="W12" s="196">
        <v>118</v>
      </c>
      <c r="X12" s="202">
        <v>5</v>
      </c>
      <c r="Y12" s="204">
        <v>4</v>
      </c>
      <c r="Z12" s="194">
        <v>15</v>
      </c>
      <c r="AA12" s="194">
        <v>18</v>
      </c>
      <c r="AB12" s="194">
        <v>1</v>
      </c>
      <c r="AC12" s="196">
        <v>0</v>
      </c>
      <c r="AD12" s="196">
        <v>0</v>
      </c>
      <c r="AE12" s="196">
        <v>0</v>
      </c>
      <c r="AF12" s="202">
        <v>0</v>
      </c>
      <c r="AG12" s="215">
        <v>6</v>
      </c>
      <c r="AH12" s="196">
        <v>12</v>
      </c>
      <c r="AI12" s="196">
        <v>15</v>
      </c>
      <c r="AJ12" s="216">
        <v>4</v>
      </c>
      <c r="AK12" s="195">
        <v>0</v>
      </c>
      <c r="AL12" s="196">
        <v>0</v>
      </c>
      <c r="AM12" s="196">
        <v>0</v>
      </c>
      <c r="AN12" s="202">
        <v>0</v>
      </c>
      <c r="AO12" s="283">
        <v>1</v>
      </c>
      <c r="AP12" s="168">
        <v>1</v>
      </c>
      <c r="AQ12" s="168">
        <v>1</v>
      </c>
      <c r="AR12" s="167">
        <v>1</v>
      </c>
      <c r="AS12" s="381" t="s">
        <v>1075</v>
      </c>
      <c r="AT12" s="216"/>
      <c r="AU12" s="215"/>
      <c r="AV12" s="216"/>
      <c r="AW12" s="215"/>
      <c r="AX12" s="216"/>
      <c r="AY12" s="136">
        <f t="shared" si="1"/>
        <v>295</v>
      </c>
      <c r="AZ12" s="137">
        <f t="shared" si="1"/>
        <v>331</v>
      </c>
      <c r="BA12" s="137">
        <f t="shared" si="1"/>
        <v>358</v>
      </c>
      <c r="BB12" s="137">
        <f t="shared" si="1"/>
        <v>288</v>
      </c>
      <c r="BC12" s="135">
        <f>IF(ISNUMBER(X12),X12," - ")</f>
        <v>5</v>
      </c>
      <c r="BD12" s="136">
        <f t="shared" si="2"/>
        <v>1.0815709969788521</v>
      </c>
      <c r="BE12" s="137">
        <f t="shared" si="3"/>
        <v>0.8044692737430168</v>
      </c>
      <c r="BF12" s="137">
        <f t="shared" si="4"/>
        <v>1.3966480446927373E-2</v>
      </c>
      <c r="BG12" s="209">
        <f t="shared" si="5"/>
        <v>1.7486033519553073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284</v>
      </c>
      <c r="J14" s="197">
        <f t="shared" si="7"/>
        <v>366</v>
      </c>
      <c r="K14" s="197">
        <f t="shared" si="7"/>
        <v>262</v>
      </c>
      <c r="L14" s="197">
        <f t="shared" si="7"/>
        <v>335</v>
      </c>
      <c r="M14" s="197">
        <f t="shared" si="7"/>
        <v>69</v>
      </c>
      <c r="N14" s="197">
        <f t="shared" si="7"/>
        <v>75</v>
      </c>
      <c r="O14" s="197">
        <f t="shared" si="7"/>
        <v>57</v>
      </c>
      <c r="P14" s="197">
        <f t="shared" si="7"/>
        <v>96</v>
      </c>
      <c r="Q14" s="197">
        <f t="shared" si="7"/>
        <v>9</v>
      </c>
      <c r="R14" s="197">
        <f t="shared" si="7"/>
        <v>403</v>
      </c>
      <c r="S14" s="197">
        <f t="shared" si="7"/>
        <v>289</v>
      </c>
      <c r="T14" s="197">
        <f t="shared" si="7"/>
        <v>319</v>
      </c>
      <c r="U14" s="197">
        <f t="shared" si="7"/>
        <v>343</v>
      </c>
      <c r="V14" s="197">
        <f t="shared" si="7"/>
        <v>284</v>
      </c>
      <c r="W14" s="197">
        <f t="shared" si="7"/>
        <v>118</v>
      </c>
      <c r="X14" s="197">
        <f t="shared" si="7"/>
        <v>5</v>
      </c>
      <c r="Y14" s="197">
        <f t="shared" si="7"/>
        <v>4</v>
      </c>
      <c r="Z14" s="197">
        <f t="shared" si="7"/>
        <v>15</v>
      </c>
      <c r="AA14" s="197">
        <f t="shared" si="7"/>
        <v>18</v>
      </c>
      <c r="AB14" s="197">
        <f t="shared" si="7"/>
        <v>1</v>
      </c>
      <c r="AC14" s="197">
        <f t="shared" si="7"/>
        <v>0</v>
      </c>
      <c r="AD14" s="197">
        <f t="shared" si="7"/>
        <v>0</v>
      </c>
      <c r="AE14" s="197">
        <f t="shared" si="7"/>
        <v>0</v>
      </c>
      <c r="AF14" s="197">
        <f>SUBTOTAL(9,AF9:AF13)</f>
        <v>0</v>
      </c>
      <c r="AG14" s="197">
        <f t="shared" ref="AG14:AT14" si="8">SUBTOTAL(9,AG8:AG13)</f>
        <v>6</v>
      </c>
      <c r="AH14" s="197">
        <f t="shared" si="8"/>
        <v>12</v>
      </c>
      <c r="AI14" s="197">
        <f t="shared" si="8"/>
        <v>15</v>
      </c>
      <c r="AJ14" s="197">
        <f t="shared" si="8"/>
        <v>4</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295</v>
      </c>
      <c r="AZ14" s="197">
        <f>SUBTOTAL(9,AZ8:AZ13)</f>
        <v>331</v>
      </c>
      <c r="BA14" s="197">
        <f>SUBTOTAL(9,BA8:BA13)</f>
        <v>358</v>
      </c>
      <c r="BB14" s="197">
        <f>SUBTOTAL(9,BB8:BB13)</f>
        <v>288</v>
      </c>
      <c r="BC14" s="197">
        <f>SUBTOTAL(9,BC8:BC13)</f>
        <v>5</v>
      </c>
      <c r="BD14" s="219">
        <f>IF(ISNUMBER(BA14/AZ14),BA14/AZ14," - ")</f>
        <v>1.0815709969788521</v>
      </c>
      <c r="BE14" s="220">
        <f>IF(ISNUMBER(BB14/BA14),BB14/BA14, " - ")</f>
        <v>0.8044692737430168</v>
      </c>
      <c r="BF14" s="220">
        <f>IF(ISNUMBER(BC14/BA14),BC14/BA14, " - ")</f>
        <v>1.3966480446927373E-2</v>
      </c>
      <c r="BG14" s="221">
        <f>IF(ISNUMBER((AY14+AZ14)/BA14),(AY14+AZ14)/BA14," - ")</f>
        <v>1.7486033519553073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124</v>
      </c>
      <c r="J17" s="196">
        <v>325</v>
      </c>
      <c r="K17" s="196">
        <v>364</v>
      </c>
      <c r="L17" s="196">
        <v>94</v>
      </c>
      <c r="M17" s="196">
        <v>65</v>
      </c>
      <c r="N17" s="196">
        <v>231</v>
      </c>
      <c r="O17" s="194">
        <v>0</v>
      </c>
      <c r="P17" s="196">
        <v>16</v>
      </c>
      <c r="Q17" s="196">
        <v>25</v>
      </c>
      <c r="R17" s="196">
        <v>21</v>
      </c>
      <c r="S17" s="196">
        <v>134</v>
      </c>
      <c r="T17" s="196">
        <v>291</v>
      </c>
      <c r="U17" s="196">
        <v>301</v>
      </c>
      <c r="V17" s="196">
        <v>124</v>
      </c>
      <c r="W17" s="196">
        <v>69</v>
      </c>
      <c r="X17" s="202">
        <v>212</v>
      </c>
      <c r="Y17" s="215">
        <v>0</v>
      </c>
      <c r="Z17" s="196">
        <v>0</v>
      </c>
      <c r="AA17" s="196">
        <v>0</v>
      </c>
      <c r="AB17" s="196">
        <v>0</v>
      </c>
      <c r="AC17" s="196">
        <v>0</v>
      </c>
      <c r="AD17" s="196">
        <v>9</v>
      </c>
      <c r="AE17" s="196">
        <v>9</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134</v>
      </c>
      <c r="AZ17" s="137">
        <f t="shared" si="10"/>
        <v>291</v>
      </c>
      <c r="BA17" s="137">
        <f t="shared" si="10"/>
        <v>301</v>
      </c>
      <c r="BB17" s="137">
        <f t="shared" si="10"/>
        <v>124</v>
      </c>
      <c r="BC17" s="135">
        <f>IF(ISNUMBER(W17),W17," - ")</f>
        <v>69</v>
      </c>
      <c r="BD17" s="136">
        <f t="shared" ref="BD17:BD22" si="12">IF(ISNUMBER(BA17/AZ17),BA17/AZ17," - ")</f>
        <v>1.034364261168385</v>
      </c>
      <c r="BE17" s="137">
        <f t="shared" ref="BE17:BE22" si="13">IF(ISNUMBER(BB17/BA17),BB17/BA17, " - ")</f>
        <v>0.41196013289036543</v>
      </c>
      <c r="BF17" s="137">
        <f t="shared" ref="BF17:BF22" si="14">IF(ISNUMBER(BC17/BA17),BC17/BA17, " - ")</f>
        <v>0.2292358803986711</v>
      </c>
      <c r="BG17" s="209">
        <f t="shared" si="11"/>
        <v>1.4119601328903655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4</v>
      </c>
      <c r="J18" s="196">
        <v>17</v>
      </c>
      <c r="K18" s="196">
        <v>21</v>
      </c>
      <c r="L18" s="196">
        <v>0</v>
      </c>
      <c r="M18" s="196">
        <v>2</v>
      </c>
      <c r="N18" s="196">
        <v>19</v>
      </c>
      <c r="O18" s="196">
        <v>0</v>
      </c>
      <c r="P18" s="196">
        <v>0</v>
      </c>
      <c r="Q18" s="196">
        <v>0</v>
      </c>
      <c r="R18" s="196">
        <v>0</v>
      </c>
      <c r="S18" s="196">
        <v>7</v>
      </c>
      <c r="T18" s="196">
        <v>20</v>
      </c>
      <c r="U18" s="196">
        <v>23</v>
      </c>
      <c r="V18" s="196">
        <v>4</v>
      </c>
      <c r="W18" s="196">
        <v>6</v>
      </c>
      <c r="X18" s="202">
        <v>22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v>
      </c>
      <c r="AZ18" s="139">
        <f t="shared" si="15"/>
        <v>20</v>
      </c>
      <c r="BA18" s="139">
        <f t="shared" si="15"/>
        <v>23</v>
      </c>
      <c r="BB18" s="139">
        <f t="shared" si="15"/>
        <v>4</v>
      </c>
      <c r="BC18" s="135">
        <f>IF(ISNUMBER(W18),W18," - ")</f>
        <v>6</v>
      </c>
      <c r="BD18" s="136">
        <f>IF(ISNUMBER(BA18/AZ18),BA18/AZ18," - ")</f>
        <v>1.1499999999999999</v>
      </c>
      <c r="BE18" s="137">
        <f>IF(ISNUMBER(BB18/BA18),BB18/BA18, " - ")</f>
        <v>0.17391304347826086</v>
      </c>
      <c r="BF18" s="137">
        <f>IF(ISNUMBER(BC18/BA18),BC18/BA18, " - ")</f>
        <v>0.2608695652173913</v>
      </c>
      <c r="BG18" s="209">
        <f>IF(ISNUMBER((AY18+AZ18)/BA18),(AY18+AZ18)/BA18," - ")</f>
        <v>1.173913043478261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128</v>
      </c>
      <c r="J23" s="197">
        <f t="shared" si="21"/>
        <v>342</v>
      </c>
      <c r="K23" s="197">
        <f t="shared" si="21"/>
        <v>385</v>
      </c>
      <c r="L23" s="197">
        <f t="shared" si="21"/>
        <v>94</v>
      </c>
      <c r="M23" s="197">
        <f t="shared" si="21"/>
        <v>67</v>
      </c>
      <c r="N23" s="197">
        <f t="shared" si="21"/>
        <v>250</v>
      </c>
      <c r="O23" s="197">
        <f t="shared" si="21"/>
        <v>0</v>
      </c>
      <c r="P23" s="197">
        <f t="shared" si="21"/>
        <v>16</v>
      </c>
      <c r="Q23" s="197">
        <f t="shared" si="21"/>
        <v>25</v>
      </c>
      <c r="R23" s="197">
        <f t="shared" si="21"/>
        <v>21</v>
      </c>
      <c r="S23" s="197">
        <f t="shared" si="21"/>
        <v>141</v>
      </c>
      <c r="T23" s="197">
        <f t="shared" si="21"/>
        <v>311</v>
      </c>
      <c r="U23" s="197">
        <f t="shared" si="21"/>
        <v>324</v>
      </c>
      <c r="V23" s="197">
        <f t="shared" si="21"/>
        <v>128</v>
      </c>
      <c r="W23" s="197">
        <f t="shared" si="21"/>
        <v>75</v>
      </c>
      <c r="X23" s="197">
        <f t="shared" si="21"/>
        <v>234</v>
      </c>
      <c r="Y23" s="197">
        <f t="shared" si="21"/>
        <v>0</v>
      </c>
      <c r="Z23" s="197">
        <f t="shared" si="21"/>
        <v>0</v>
      </c>
      <c r="AA23" s="197">
        <f t="shared" si="21"/>
        <v>0</v>
      </c>
      <c r="AB23" s="197">
        <f t="shared" si="21"/>
        <v>0</v>
      </c>
      <c r="AC23" s="197">
        <f t="shared" si="21"/>
        <v>0</v>
      </c>
      <c r="AD23" s="197">
        <f t="shared" si="21"/>
        <v>9</v>
      </c>
      <c r="AE23" s="197">
        <f t="shared" si="21"/>
        <v>9</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141</v>
      </c>
      <c r="AZ23" s="197">
        <f>SUBTOTAL(9,AZ15:AZ22)</f>
        <v>311</v>
      </c>
      <c r="BA23" s="197">
        <f>SUBTOTAL(9,BA15:BA22)</f>
        <v>324</v>
      </c>
      <c r="BB23" s="197">
        <f>SUBTOTAL(9,BB15:BB22)</f>
        <v>128</v>
      </c>
      <c r="BC23" s="197">
        <f>SUBTOTAL(9,BC15:BC22)</f>
        <v>75</v>
      </c>
      <c r="BD23" s="219">
        <f>IF(ISNUMBER(BA23/AZ23),BA23/AZ23," - ")</f>
        <v>1.0418006430868167</v>
      </c>
      <c r="BE23" s="220">
        <f>IF(ISNUMBER(BB23/BA23),BB23/BA23, " - ")</f>
        <v>0.39506172839506171</v>
      </c>
      <c r="BF23" s="220">
        <f>IF(ISNUMBER(BC23/BA23),BC23/BA23, " - ")</f>
        <v>0.23148148148148148</v>
      </c>
      <c r="BG23" s="221">
        <f>IF(ISNUMBER((AY23+AZ23)/BA23),(AY23+AZ23)/BA23," - ")</f>
        <v>1.3950617283950617</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412</v>
      </c>
      <c r="J31" s="144">
        <f t="shared" si="36"/>
        <v>708</v>
      </c>
      <c r="K31" s="144">
        <f t="shared" si="36"/>
        <v>647</v>
      </c>
      <c r="L31" s="144">
        <f t="shared" si="36"/>
        <v>429</v>
      </c>
      <c r="M31" s="144">
        <f t="shared" si="36"/>
        <v>136</v>
      </c>
      <c r="N31" s="144">
        <f t="shared" si="36"/>
        <v>325</v>
      </c>
      <c r="O31" s="144">
        <f t="shared" si="36"/>
        <v>57</v>
      </c>
      <c r="P31" s="144">
        <f t="shared" si="36"/>
        <v>112</v>
      </c>
      <c r="Q31" s="144">
        <f t="shared" si="36"/>
        <v>34</v>
      </c>
      <c r="R31" s="144">
        <f t="shared" si="36"/>
        <v>424</v>
      </c>
      <c r="S31" s="144">
        <f t="shared" si="36"/>
        <v>430</v>
      </c>
      <c r="T31" s="144">
        <f t="shared" si="36"/>
        <v>630</v>
      </c>
      <c r="U31" s="144">
        <f t="shared" si="36"/>
        <v>667</v>
      </c>
      <c r="V31" s="144">
        <f t="shared" si="36"/>
        <v>412</v>
      </c>
      <c r="W31" s="144">
        <f t="shared" si="36"/>
        <v>193</v>
      </c>
      <c r="X31" s="144">
        <f t="shared" si="36"/>
        <v>239</v>
      </c>
      <c r="Y31" s="144">
        <f t="shared" si="36"/>
        <v>4</v>
      </c>
      <c r="Z31" s="144">
        <f t="shared" si="36"/>
        <v>15</v>
      </c>
      <c r="AA31" s="144">
        <f t="shared" si="36"/>
        <v>18</v>
      </c>
      <c r="AB31" s="144">
        <f t="shared" si="36"/>
        <v>1</v>
      </c>
      <c r="AC31" s="144">
        <f t="shared" si="36"/>
        <v>0</v>
      </c>
      <c r="AD31" s="144">
        <f t="shared" si="36"/>
        <v>9</v>
      </c>
      <c r="AE31" s="144">
        <f t="shared" si="36"/>
        <v>9</v>
      </c>
      <c r="AF31" s="144">
        <f t="shared" si="36"/>
        <v>0</v>
      </c>
      <c r="AG31" s="144">
        <f t="shared" si="36"/>
        <v>6</v>
      </c>
      <c r="AH31" s="144">
        <f t="shared" si="36"/>
        <v>12</v>
      </c>
      <c r="AI31" s="144">
        <f t="shared" si="36"/>
        <v>15</v>
      </c>
      <c r="AJ31" s="144">
        <f t="shared" si="36"/>
        <v>4</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436</v>
      </c>
      <c r="AZ31" s="144">
        <f>SUBTOTAL(9,AZ9:AZ30)</f>
        <v>642</v>
      </c>
      <c r="BA31" s="144">
        <f>SUBTOTAL(9,BA9:BA30)</f>
        <v>682</v>
      </c>
      <c r="BB31" s="144">
        <f>SUBTOTAL(9,BB9:BB30)</f>
        <v>416</v>
      </c>
      <c r="BC31" s="145">
        <f>SUBTOTAL(9,BC9:BC30)</f>
        <v>80</v>
      </c>
      <c r="BD31" s="227">
        <f>IF(ISNUMBER(BA31/AZ31),BA31/AZ31," - ")</f>
        <v>1.0623052959501558</v>
      </c>
      <c r="BE31" s="224">
        <f>IF(ISNUMBER(BB31/BA31),BB31/BA31, " - ")</f>
        <v>0.60997067448680353</v>
      </c>
      <c r="BF31" s="224">
        <f>IF(ISNUMBER(BC31/BA31),BC31/BA31, " - ")</f>
        <v>0.11730205278592376</v>
      </c>
      <c r="BG31" s="145">
        <f>IF(ISNUMBER((AY31+AZ31)/BA31),(AY31+AZ31)/BA31," - ")</f>
        <v>1.5806451612903225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RW6R6IlkWiHJo+NqUNAk759xyLB3ZN27PTR/RQW7yO4Q5ubiTmSzVgk5873Bmi39eVpy+msnzD7Wam/lg5TZg==" saltValue="GIcWpFz8vUn0nIDxtvN9b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0hN2UGWwuTVFok89pmpQRSiSAVI2mNNXU+YeXGrokzCoI7bw56ifyOwOjbSAo33sRYBMcoCrXlWNbfGH3i6xg==" saltValue="NWpW6RqBcK06s3PS20RE7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CANARIAS</v>
      </c>
      <c r="F1" s="578"/>
    </row>
    <row r="2" spans="1:74" ht="16.5" customHeight="1">
      <c r="C2" s="567" t="str">
        <f>Criterios!A10 &amp;"  "&amp;Criterios!B10 &amp; "  " &amp; IF(NOT(ISBLANK(Criterios!A11)),Criterios!A11 &amp;"  "&amp;Criterios!B11,"")</f>
        <v>Provincias  SANTA CRUZ DE TENERIFE  Resumenes por Partidos Judiciales  VALVERDE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15</v>
      </c>
      <c r="O12" s="549"/>
      <c r="P12" s="549"/>
      <c r="Q12" s="547">
        <f>IF(ISNUMBER(Datos!P12),Datos!P12,0)</f>
        <v>96</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v>
      </c>
      <c r="AI12" s="549" t="str">
        <f>IF(ISNUMBER(Datos!CD12),Datos!CD12,"-")</f>
        <v>-</v>
      </c>
      <c r="AJ12" s="549" t="str">
        <f>IF(ISNUMBER(Datos!EN12),Datos!EN12," - ")</f>
        <v xml:space="preserve"> - </v>
      </c>
      <c r="AK12" s="549"/>
      <c r="AL12" s="550"/>
      <c r="AM12" s="766">
        <f>IF(ISNUMBER(Datos!R12),Datos!R12," - ")</f>
        <v>403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69</v>
      </c>
      <c r="BD12" s="693">
        <f>IF(ISNUMBER(Datos!N12),Datos!N12," - ")</f>
        <v>75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0.73878627968337729</v>
      </c>
      <c r="BH12" s="764">
        <f>IF(ISNUMBER(((IF(J_V="SI",Datos!L12/Datos!K12,(Datos!L12+Datos!AB12)/(Datos!K12+Datos!AA12)))*11)/factor_trimestre),((IF(J_V="SI",Datos!L12/Datos!K12,(Datos!L12+Datos!AB12)/(Datos!K12+Datos!AA12)))*11)/factor_trimestre," - ")</f>
        <v>13.121428571428572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0.27531645569620256</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15</v>
      </c>
      <c r="O14" s="1199">
        <f t="shared" si="1"/>
        <v>0</v>
      </c>
      <c r="P14" s="1199">
        <f t="shared" si="1"/>
        <v>0</v>
      </c>
      <c r="Q14" s="1198">
        <f t="shared" si="1"/>
        <v>96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9</v>
      </c>
      <c r="AD14" s="1198">
        <f t="shared" si="2"/>
        <v>0</v>
      </c>
      <c r="AE14" s="1198">
        <f t="shared" si="2"/>
        <v>0</v>
      </c>
      <c r="AF14" s="1198">
        <f t="shared" si="2"/>
        <v>2</v>
      </c>
      <c r="AG14" s="1198">
        <f t="shared" si="2"/>
        <v>0</v>
      </c>
      <c r="AH14" s="1198">
        <f t="shared" si="2"/>
        <v>1</v>
      </c>
      <c r="AI14" s="1198">
        <f t="shared" si="2"/>
        <v>0</v>
      </c>
      <c r="AJ14" s="1198">
        <f t="shared" si="2"/>
        <v>0</v>
      </c>
      <c r="AK14" s="1198">
        <f t="shared" si="2"/>
        <v>0</v>
      </c>
      <c r="AL14" s="1198">
        <f t="shared" si="2"/>
        <v>0</v>
      </c>
      <c r="AM14" s="1198">
        <f t="shared" si="2"/>
        <v>403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69</v>
      </c>
      <c r="BD14" s="1198">
        <f t="shared" si="2"/>
        <v>75</v>
      </c>
      <c r="BE14" s="1198">
        <f t="shared" si="2"/>
        <v>0</v>
      </c>
      <c r="BF14" s="1198">
        <f t="shared" si="2"/>
        <v>0</v>
      </c>
      <c r="BG14" s="1198">
        <f>IF(ISNUMBER(Datos!K14/Datos!J14),Datos!K14/Datos!J14," - ")</f>
        <v>0.71584699453551914</v>
      </c>
      <c r="BH14" s="1202">
        <f>IF(ISNUMBER(((Datos!L14/Datos!K14)*11)/factor_trimestre),((Datos!L14/Datos!K14)*11)/factor_trimestre," - ")</f>
        <v>14.064885496183205</v>
      </c>
      <c r="BI14" s="1198">
        <f>IF(ISNUMBER('Resol  Asuntos'!D14/NºAsuntos!G14),'Resol  Asuntos'!D14/NºAsuntos!G14," - ")</f>
        <v>0.24642857142857144</v>
      </c>
      <c r="BJ14" s="1198" t="str">
        <f>IF(ISNUMBER(Datos!CI14/Datos!CJ14),Datos!CI14/Datos!CJ14," - ")</f>
        <v xml:space="preserve"> - </v>
      </c>
      <c r="BK14" s="1198">
        <f>SUBTOTAL(9,BK8:BK13)</f>
        <v>0</v>
      </c>
      <c r="BL14" s="1198" t="str">
        <f>IF(ISNUMBER((I14-AB14+L14)/(F14)),(I14-AB14+L14)/(F14)," - ")</f>
        <v xml:space="preserve"> - </v>
      </c>
      <c r="BM14" s="1203">
        <f>SUBTOTAL(9,BM9:BM13)</f>
        <v>0.27531645569620256</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133</v>
      </c>
      <c r="G17" s="743">
        <f>IF(ISNUMBER(IF(D_I="SI",Datos!I17,Datos!I17+Datos!AC17)),IF(D_I="SI",Datos!I17,Datos!I17+Datos!AC17)," - ")</f>
        <v>124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364</v>
      </c>
      <c r="AC17" s="240">
        <f>IF(ISNUMBER(Datos!Q17),Datos!Q17," - ")</f>
        <v>25</v>
      </c>
      <c r="AD17" s="374"/>
      <c r="AE17" s="562"/>
      <c r="AF17" s="741">
        <f>IF(ISNUMBER(IF(D_I="SI",Datos!L17,Datos!L17+Datos!AF17)),IF(D_I="SI",Datos!L17,Datos!L17+Datos!AF17)," - ")</f>
        <v>94</v>
      </c>
      <c r="AG17" s="374"/>
      <c r="AH17" s="374"/>
      <c r="AI17" s="374"/>
      <c r="AJ17" s="549"/>
      <c r="AK17" s="374"/>
      <c r="AL17" s="545"/>
      <c r="AM17" s="375">
        <f>IF(ISNUMBER(Datos!R17),Datos!R17," - ")</f>
        <v>21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65</v>
      </c>
      <c r="BD17" s="243">
        <f>IF(ISNUMBER(Datos!N17),Datos!N17," - ")</f>
        <v>231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1.1200000000000001</v>
      </c>
      <c r="BH17" s="764">
        <f>IF(ISNUMBER(((IF(D_I="SI",Datos!L17/Datos!K17,(Datos!L17+Datos!AF17)/(Datos!K17+Datos!AE17)))*11)/factor_trimestre),((IF(D_I="SI",Datos!L17/Datos!K17,(Datos!L17+Datos!AF17)/(Datos!K17+Datos!AE17)))*11)/factor_trimestre," - ")</f>
        <v>2.8406593406593408</v>
      </c>
      <c r="BI17" s="266">
        <f>IF(ISNUMBER('Resol  Asuntos'!D17/NºAsuntos!G17),'Resol  Asuntos'!D17/NºAsuntos!G17," - ")</f>
        <v>0.17857142857142858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v>
      </c>
      <c r="AC18" s="547">
        <f>IF(ISNUMBER(Datos!Q18),Datos!Q18," - ")</f>
        <v>0</v>
      </c>
      <c r="AD18" s="549"/>
      <c r="AE18" s="562"/>
      <c r="AF18" s="551">
        <f>IF(ISNUMBER(Datos!L18),Datos!L18,"-")</f>
        <v>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1.2352941176470589</v>
      </c>
      <c r="BH18" s="764">
        <f>IF(ISNUMBER(((IF(D_I="SI",Datos!L18/Datos!K18,(Datos!L18+Datos!AF18)/(Datos!K18+Datos!AE18)))*11)/factor_trimestre),((IF(D_I="SI",Datos!L18/Datos!K18,(Datos!L18+Datos!AF18)/(Datos!K18+Datos!AE18)))*11)/factor_trimestre," - ")</f>
        <v>0</v>
      </c>
      <c r="BI18" s="763">
        <f>IF(ISNUMBER('Resol  Asuntos'!D18/NºAsuntos!G18),'Resol  Asuntos'!D18/NºAsuntos!G18," - ")</f>
        <v>9.5238095238095233E-2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133</v>
      </c>
      <c r="G23" s="1197">
        <f>SUBTOTAL(9,G16:G22)</f>
        <v>128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385</v>
      </c>
      <c r="AC23" s="1198">
        <f t="shared" si="5"/>
        <v>25</v>
      </c>
      <c r="AD23" s="1198">
        <f t="shared" si="5"/>
        <v>0</v>
      </c>
      <c r="AE23" s="1198">
        <f t="shared" si="5"/>
        <v>0</v>
      </c>
      <c r="AF23" s="1198">
        <f t="shared" si="5"/>
        <v>94</v>
      </c>
      <c r="AG23" s="1198">
        <f t="shared" si="5"/>
        <v>0</v>
      </c>
      <c r="AH23" s="1198">
        <f t="shared" si="5"/>
        <v>0</v>
      </c>
      <c r="AI23" s="1198">
        <f t="shared" si="5"/>
        <v>0</v>
      </c>
      <c r="AJ23" s="1198">
        <f t="shared" si="5"/>
        <v>0</v>
      </c>
      <c r="AK23" s="1198">
        <f t="shared" si="5"/>
        <v>0</v>
      </c>
      <c r="AL23" s="1198">
        <f t="shared" si="5"/>
        <v>0</v>
      </c>
      <c r="AM23" s="1198">
        <f t="shared" si="5"/>
        <v>21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67</v>
      </c>
      <c r="BD23" s="1198">
        <f t="shared" si="5"/>
        <v>250</v>
      </c>
      <c r="BE23" s="1198">
        <f t="shared" si="5"/>
        <v>0</v>
      </c>
      <c r="BF23" s="1198">
        <f t="shared" si="5"/>
        <v>0</v>
      </c>
      <c r="BG23" s="1198">
        <f>IF(ISNUMBER(Datos!K23/Datos!J23),Datos!K23/Datos!J23," - ")</f>
        <v>1.1257309941520468</v>
      </c>
      <c r="BH23" s="1202">
        <f>IF(ISNUMBER(((Datos!L23/Datos!K23)*11)/factor_trimestre),((Datos!L23/Datos!K23)*11)/factor_trimestre," - ")</f>
        <v>2.6857142857142855</v>
      </c>
      <c r="BI23" s="1198">
        <f>SUBTOTAL(9,BI16:BI22)</f>
        <v>0.27380952380952384</v>
      </c>
      <c r="BJ23" s="1198">
        <f>SUBTOTAL(9,BJ16:BJ22)</f>
        <v>0</v>
      </c>
      <c r="BK23" s="1198">
        <f>SUBTOTAL(9,BK16:BK22)</f>
        <v>0</v>
      </c>
      <c r="BL23" s="1198">
        <f>IF(ISNUMBER((I23-AB23+L23)/(F23)),(I23-AB23+L23)/(F23)," - ")</f>
        <v>-2.8947368421052633</v>
      </c>
      <c r="BM23" s="1205">
        <f>IF(ISNUMBER((Datos!P23-Datos!Q23)/(Datos!R23-Datos!P23+Datos!Q23)),(Datos!P23-Datos!Q23)/(Datos!R23-Datos!P23+Datos!Q23)," - ")</f>
        <v>-0.3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133</v>
      </c>
      <c r="G31" s="1117">
        <f t="shared" si="18"/>
        <v>128</v>
      </c>
      <c r="H31" s="1119">
        <f t="shared" si="18"/>
        <v>0</v>
      </c>
      <c r="I31" s="1117">
        <f t="shared" si="18"/>
        <v>0</v>
      </c>
      <c r="J31" s="1119">
        <f t="shared" si="18"/>
        <v>0</v>
      </c>
      <c r="K31" s="1119">
        <f t="shared" si="18"/>
        <v>0</v>
      </c>
      <c r="L31" s="1180">
        <f t="shared" si="18"/>
        <v>0</v>
      </c>
      <c r="M31" s="1180">
        <f t="shared" si="18"/>
        <v>0</v>
      </c>
      <c r="N31" s="1180">
        <f t="shared" si="18"/>
        <v>15</v>
      </c>
      <c r="O31" s="1180">
        <f t="shared" si="18"/>
        <v>0</v>
      </c>
      <c r="P31" s="1180">
        <f t="shared" si="18"/>
        <v>0</v>
      </c>
      <c r="Q31" s="1119">
        <f t="shared" si="18"/>
        <v>112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385</v>
      </c>
      <c r="AC31" s="1118">
        <f t="shared" si="19"/>
        <v>34</v>
      </c>
      <c r="AD31" s="1118">
        <f t="shared" si="19"/>
        <v>0</v>
      </c>
      <c r="AE31" s="1118">
        <f t="shared" si="19"/>
        <v>0</v>
      </c>
      <c r="AF31" s="1125">
        <f t="shared" si="19"/>
        <v>96</v>
      </c>
      <c r="AG31" s="1125">
        <f t="shared" si="19"/>
        <v>0</v>
      </c>
      <c r="AH31" s="1125">
        <f t="shared" si="19"/>
        <v>1</v>
      </c>
      <c r="AI31" s="1125">
        <f t="shared" si="19"/>
        <v>0</v>
      </c>
      <c r="AJ31" s="1118">
        <f t="shared" si="19"/>
        <v>0</v>
      </c>
      <c r="AK31" s="1125">
        <f t="shared" si="19"/>
        <v>0</v>
      </c>
      <c r="AL31" s="1125">
        <f t="shared" si="19"/>
        <v>0</v>
      </c>
      <c r="AM31" s="1125">
        <f t="shared" si="19"/>
        <v>424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136</v>
      </c>
      <c r="BD31" s="1117">
        <f t="shared" si="19"/>
        <v>325</v>
      </c>
      <c r="BE31" s="1117">
        <f t="shared" si="19"/>
        <v>0</v>
      </c>
      <c r="BF31" s="1127">
        <f t="shared" si="19"/>
        <v>0</v>
      </c>
      <c r="BG31" s="1223">
        <f>IF(ISNUMBER(Datos!K31/Datos!J31),Datos!K31/Datos!J31," - ")</f>
        <v>0.91384180790960456</v>
      </c>
      <c r="BH31" s="1223">
        <f>IF(ISNUMBER(((Datos!L31/Datos!K31)*11)/factor_trimestre),((Datos!L31/Datos!K31)*11)/factor_trimestre," - ")</f>
        <v>7.2936630602782078</v>
      </c>
      <c r="BI31" s="1103">
        <f>IF(ISNUMBER(Datos!J31/Datos!I31),Datos!J31/Datos!I31," - ")</f>
        <v>1.7184466019417475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-2.8947368421052633</v>
      </c>
      <c r="BM31" s="1188">
        <f>IF(ISNUMBER((Datos!P31-Datos!Q31+R31)/(Datos!R31-Datos!P31+Datos!Q31-R31)),(Datos!P31-Datos!Q31+R31)/(Datos!R31-Datos!P31+Datos!Q31-R31)," - ")</f>
        <v>0.22543352601156069</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36.571428571428569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68.680904672744859</v>
      </c>
      <c r="G33" s="674">
        <f>IF(ISNUMBER(STDEV(G8:G30)),STDEV(G8:G30),"-")</f>
        <v>61.119710794628666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180.95211152862149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35.840918355581081</v>
      </c>
      <c r="BD33" s="673"/>
      <c r="BE33" s="673">
        <f>IF(ISNUMBER(STDEV(BE8:BE30)),STDEV(BE8:BE30),"-")</f>
        <v>0</v>
      </c>
      <c r="BF33" s="678">
        <f>IF(ISNUMBER(STDEV(BF8:BF30)),STDEV(BF8:BF30),"-")</f>
        <v>0</v>
      </c>
      <c r="BG33" s="1052">
        <f>IF(ISNUMBER(STDEV(BG8:BG30)),STDEV(BG8:BG30),"-")</f>
        <v>0.45732773755304879</v>
      </c>
      <c r="BH33" s="1058">
        <f>IF(ISNUMBER(STDEV(BH8:BH30)),STDEV(BH8:BH30),"-")</f>
        <v>6.5431512143837649</v>
      </c>
      <c r="BI33" s="273">
        <f>IF(ISNUMBER(STDEV(BI8:BI30)),STDEV(BI8:BI30),"-")</f>
        <v>7.9642619877692375E-2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PFC+moHYse+Uzej3mqNV9tYdoXSOoC8ISndzyLnBtoDRQ8rPVFB0vJIqUTI7XnGyhFgtJoSruqK9mxKSsukN3A==" saltValue="K2uTZRpJ+KXcnwckHLNoe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CANARIAS</v>
      </c>
    </row>
    <row r="2" spans="1:73" ht="16.5" customHeight="1">
      <c r="C2" s="647" t="str">
        <f>Criterios!A10 &amp;"  "&amp;Criterios!B10 &amp; "  " &amp; IF(NOT(ISBLANK(Criterios!A11)),Criterios!A11 &amp;"  "&amp;Criterios!B11,"")</f>
        <v>Provincias  SANTA CRUZ DE TENERIFE  Resumenes por Partidos Judiciales  VALVERDE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96</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9</v>
      </c>
      <c r="AA12" s="551" t="str">
        <f>IF(ISNUMBER(IF(J_V="SI",Datos!L12,Datos!L12+Datos!AB12)-IF(Monitorios="SI",Datos!CD12,0)),
                          IF(J_V="SI",Datos!L12,Datos!L12+Datos!AB12)-IF(Monitorios="SI",Datos!CD12,0),
                          " - ")</f>
        <v xml:space="preserve"> - </v>
      </c>
      <c r="AB12" s="549"/>
      <c r="AC12" s="549"/>
      <c r="AD12" s="563"/>
      <c r="AE12" s="563">
        <f>IF(ISNUMBER(Datos!R12),Datos!R12," - ")</f>
        <v>403</v>
      </c>
      <c r="AF12" s="693" t="str">
        <f>IF(ISNUMBER(Datos!BV12),Datos!BV12," - ")</f>
        <v xml:space="preserve"> - </v>
      </c>
      <c r="AG12" s="552" t="str">
        <f>IF(ISNUMBER(Datos!DV12),Datos!DV12," - ")</f>
        <v xml:space="preserve"> - </v>
      </c>
      <c r="AH12" s="553"/>
      <c r="AI12" s="554"/>
      <c r="AJ12" s="552">
        <f>IF(ISNUMBER(Datos!M12),Datos!M12," - ")</f>
        <v>69</v>
      </c>
      <c r="AK12" s="693">
        <f>IF(ISNUMBER(Datos!N12),Datos!N12," - ")</f>
        <v>75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13.121428571428572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0.27531645569620256</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96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9</v>
      </c>
      <c r="AA14" s="1199">
        <f t="shared" si="3"/>
        <v>2</v>
      </c>
      <c r="AB14" s="1199">
        <f t="shared" si="3"/>
        <v>0</v>
      </c>
      <c r="AC14" s="1199">
        <f t="shared" si="3"/>
        <v>0</v>
      </c>
      <c r="AD14" s="1199">
        <f t="shared" si="3"/>
        <v>0</v>
      </c>
      <c r="AE14" s="1199">
        <f t="shared" si="3"/>
        <v>403</v>
      </c>
      <c r="AF14" s="1211">
        <f t="shared" si="3"/>
        <v>0</v>
      </c>
      <c r="AG14" s="1211">
        <f t="shared" si="3"/>
        <v>0</v>
      </c>
      <c r="AH14" s="1211">
        <f t="shared" si="3"/>
        <v>0</v>
      </c>
      <c r="AI14" s="1211">
        <f t="shared" si="3"/>
        <v>0</v>
      </c>
      <c r="AJ14" s="1211">
        <f t="shared" si="3"/>
        <v>69</v>
      </c>
      <c r="AK14" s="1211">
        <f t="shared" si="3"/>
        <v>75</v>
      </c>
      <c r="AL14" s="1211">
        <f t="shared" si="3"/>
        <v>0</v>
      </c>
      <c r="AM14" s="1211">
        <f t="shared" si="3"/>
        <v>0</v>
      </c>
      <c r="AN14" s="1211">
        <f t="shared" si="3"/>
        <v>0</v>
      </c>
      <c r="AO14" s="1203">
        <f>IF(ISNUMBER(((NºAsuntos!I14/NºAsuntos!G14)*11)/factor_trimestre),((NºAsuntos!I14/NºAsuntos!G14)*11)/factor_trimestre," - ")</f>
        <v>13.2</v>
      </c>
      <c r="AP14" s="1213" t="str">
        <f>IF(ISNUMBER(Datos!CI14/Datos!CJ14),Datos!CI14/Datos!CJ14," - ")</f>
        <v xml:space="preserve"> - </v>
      </c>
      <c r="AQ14" s="1236">
        <f t="shared" ref="AQ14:AV14" si="4">SUBTOTAL(9,AQ9:AQ13)</f>
        <v>0</v>
      </c>
      <c r="AR14" s="1236">
        <f t="shared" si="4"/>
        <v>0.27531645569620256</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133</v>
      </c>
      <c r="G17" s="552">
        <f>IF(ISNUMBER(IF(D_I="SI",Datos!I17,Datos!I17+Datos!AC17)),IF(D_I="SI",Datos!I17,Datos!I17+Datos!AC17)," - ")</f>
        <v>124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364</v>
      </c>
      <c r="Z17" s="805">
        <f>IF(ISNUMBER(Datos!Q17),Datos!Q17," - ")</f>
        <v>25</v>
      </c>
      <c r="AA17" s="551">
        <f>IF(ISNUMBER(IF(D_I="SI",Datos!L17,Datos!L17+Datos!AF17)),IF(D_I="SI",Datos!L17,Datos!L17+Datos!AF17)," - ")</f>
        <v>94</v>
      </c>
      <c r="AB17" s="549"/>
      <c r="AC17" s="549"/>
      <c r="AD17" s="563"/>
      <c r="AE17" s="563">
        <f>IF(ISNUMBER(Datos!R17),Datos!R17," - ")</f>
        <v>21</v>
      </c>
      <c r="AF17" s="693" t="str">
        <f>IF(ISNUMBER(Datos!BV17),Datos!BV17," - ")</f>
        <v xml:space="preserve"> - </v>
      </c>
      <c r="AG17" s="552"/>
      <c r="AH17" s="553"/>
      <c r="AI17" s="554"/>
      <c r="AJ17" s="552">
        <f>IF(ISNUMBER(Datos!M17),Datos!M17," - ")</f>
        <v>65</v>
      </c>
      <c r="AK17" s="693">
        <f>IF(ISNUMBER(Datos!N17),Datos!N17," - ")</f>
        <v>231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2.8406593406593408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v>
      </c>
      <c r="Z18" s="805">
        <f>IF(ISNUMBER(Datos!Q18),Datos!Q18," - ")</f>
        <v>0</v>
      </c>
      <c r="AA18" s="551">
        <f>IF(ISNUMBER(Datos!L18),Datos!L18,"-")</f>
        <v>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133</v>
      </c>
      <c r="G23" s="1197">
        <f>SUBTOTAL(9,G16:G22)</f>
        <v>128</v>
      </c>
      <c r="H23" s="1240">
        <f>SUBTOTAL(9,H16:H22)</f>
        <v>0</v>
      </c>
      <c r="I23" s="1217">
        <f>SUBTOTAL(9,I16:I22)</f>
        <v>0</v>
      </c>
      <c r="J23" s="1164">
        <f>SUBTOTAL(9,J15:J22)</f>
        <v>0</v>
      </c>
      <c r="K23" s="1240">
        <f t="shared" ref="K23:S23" si="5">SUBTOTAL(9,K16:K22)</f>
        <v>0</v>
      </c>
      <c r="L23" s="1240">
        <f t="shared" si="5"/>
        <v>0</v>
      </c>
      <c r="M23" s="1240">
        <f t="shared" si="5"/>
        <v>0</v>
      </c>
      <c r="N23" s="1240">
        <f t="shared" si="5"/>
        <v>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385</v>
      </c>
      <c r="Z23" s="1240">
        <f t="shared" si="6"/>
        <v>25</v>
      </c>
      <c r="AA23" s="1240">
        <f t="shared" si="6"/>
        <v>94</v>
      </c>
      <c r="AB23" s="1240">
        <f t="shared" si="6"/>
        <v>0</v>
      </c>
      <c r="AC23" s="1240">
        <f t="shared" si="6"/>
        <v>0</v>
      </c>
      <c r="AD23" s="1240">
        <f t="shared" si="6"/>
        <v>0</v>
      </c>
      <c r="AE23" s="1240">
        <f t="shared" si="6"/>
        <v>21</v>
      </c>
      <c r="AF23" s="1240">
        <f t="shared" si="6"/>
        <v>0</v>
      </c>
      <c r="AG23" s="1240">
        <f t="shared" si="6"/>
        <v>0</v>
      </c>
      <c r="AH23" s="1240">
        <f t="shared" si="6"/>
        <v>0</v>
      </c>
      <c r="AI23" s="1240">
        <f t="shared" si="6"/>
        <v>0</v>
      </c>
      <c r="AJ23" s="1240">
        <f t="shared" si="6"/>
        <v>67</v>
      </c>
      <c r="AK23" s="1240">
        <f t="shared" si="6"/>
        <v>250</v>
      </c>
      <c r="AL23" s="1240">
        <f t="shared" si="6"/>
        <v>0</v>
      </c>
      <c r="AM23" s="1240">
        <f t="shared" si="6"/>
        <v>0</v>
      </c>
      <c r="AN23" s="1240">
        <f t="shared" si="6"/>
        <v>0</v>
      </c>
      <c r="AO23" s="1242">
        <f>IF(ISNUMBER(((NºAsuntos!I23/NºAsuntos!G23)*11)/factor_trimestre),((NºAsuntos!I23/NºAsuntos!G23)*11)/factor_trimestre," - ")</f>
        <v>2.6857142857142855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133</v>
      </c>
      <c r="G31" s="1117">
        <f t="shared" si="12"/>
        <v>128</v>
      </c>
      <c r="H31" s="1118">
        <f t="shared" si="12"/>
        <v>0</v>
      </c>
      <c r="I31" s="1117">
        <f t="shared" si="12"/>
        <v>0</v>
      </c>
      <c r="J31" s="1119">
        <f t="shared" si="12"/>
        <v>0</v>
      </c>
      <c r="K31" s="1117">
        <f t="shared" si="12"/>
        <v>0</v>
      </c>
      <c r="L31" s="1120">
        <f t="shared" si="12"/>
        <v>0</v>
      </c>
      <c r="M31" s="1117">
        <f t="shared" si="12"/>
        <v>0</v>
      </c>
      <c r="N31" s="1118">
        <f t="shared" si="12"/>
        <v>112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385</v>
      </c>
      <c r="Z31" s="1124">
        <f t="shared" si="13"/>
        <v>34</v>
      </c>
      <c r="AA31" s="1125">
        <f t="shared" si="13"/>
        <v>96</v>
      </c>
      <c r="AB31" s="1125">
        <f t="shared" si="13"/>
        <v>0</v>
      </c>
      <c r="AC31" s="1125">
        <f t="shared" si="13"/>
        <v>0</v>
      </c>
      <c r="AD31" s="1126">
        <f t="shared" si="13"/>
        <v>0</v>
      </c>
      <c r="AE31" s="1126">
        <f t="shared" si="13"/>
        <v>424</v>
      </c>
      <c r="AF31" s="1127">
        <f t="shared" si="13"/>
        <v>0</v>
      </c>
      <c r="AG31" s="1128">
        <f t="shared" si="13"/>
        <v>0</v>
      </c>
      <c r="AH31" s="1129">
        <f t="shared" si="13"/>
        <v>0</v>
      </c>
      <c r="AI31" s="1127">
        <f t="shared" si="13"/>
        <v>0</v>
      </c>
      <c r="AJ31" s="1117">
        <f t="shared" si="13"/>
        <v>136</v>
      </c>
      <c r="AK31" s="1117">
        <f t="shared" si="13"/>
        <v>325</v>
      </c>
      <c r="AL31" s="1117">
        <f t="shared" si="13"/>
        <v>0</v>
      </c>
      <c r="AM31" s="1130">
        <f t="shared" si="13"/>
        <v>0</v>
      </c>
      <c r="AN31" s="1120">
        <f>IF(ISNUMBER(Datos!K31/Datos!J31),Datos!K31/Datos!J31," - ")</f>
        <v>0.91384180790960456</v>
      </c>
      <c r="AO31" s="1120">
        <f>IF(ISNUMBER(FIND("06",Criterios!A8,1)),(IF(ISNUMBER(((Datos!R31/Datos!Q31)*11)/factor_trimestre),((Datos!R31/Datos!Q31)*11)/factor_trimestre," - ")),(IF(ISNUMBER(((Datos!L31/Datos!K31)*11)/factor_trimestre),((Datos!L31/Datos!K31)*11)/factor_trimestre," - ")))</f>
        <v>7.2936630602782078</v>
      </c>
      <c r="AP31" s="1131" t="str">
        <f>IF(ISNUMBER(Datos!CI31/Datos!CJ31),Datos!CI31/Datos!CJ31," - ")</f>
        <v xml:space="preserve"> - </v>
      </c>
      <c r="AQ31" s="1131">
        <f>IF(OR(ISNUMBER(FIND("01",Criterios!A8,1)),ISNUMBER(FIND("02",Criterios!A8,1)),ISNUMBER(FIND("03",Criterios!A8,1)),ISNUMBER(FIND("04",Criterios!A8,1))),(J31-Y31+K31)/(F31-K31),(I31-Y31+K31)/(F31-K31))</f>
        <v>-2.8947368421052633</v>
      </c>
      <c r="AR31" s="1131">
        <f>IF(ISNUMBER((Datos!P31-Datos!Q31+O31)/(Datos!R31-Datos!P31+Datos!Q31-O31)),(Datos!P31-Datos!Q31+O31)/(Datos!R31-Datos!P31+Datos!Q31-O31)," - ")</f>
        <v>0.22543352601156069</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36.571428571428569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68.680904672744859</v>
      </c>
      <c r="G33" s="674">
        <f>IF(ISNUMBER(STDEV(G8:G30)),STDEV(G8:G30),"-")</f>
        <v>61.119710794628666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35.840918355581081</v>
      </c>
      <c r="AK33" s="276"/>
      <c r="AL33" s="276">
        <f>IF(ISNUMBER(STDEV(AL8:AL30)),STDEV(AL8:AL30),"-")</f>
        <v>0</v>
      </c>
      <c r="AM33" s="278">
        <f>IF(ISNUMBER(STDEV(AM8:AM30)),STDEV(AM8:AM30),"-")</f>
        <v>0</v>
      </c>
      <c r="AN33" s="660">
        <f>IF(ISNUMBER(STDEV(AN8:AN30)),STDEV(AN8:AN30),"-")</f>
        <v>0</v>
      </c>
      <c r="AO33" s="661">
        <f>IF(ISNUMBER(STDEV(AO8:AO30)),STDEV(AO8:AO30),"-")</f>
        <v>6.3015433328510913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83lq5rXn8yXtGV1xNto6OBmhg42UaF1m9ihsRdYlhrK59Cj2pUpGGHGWc6PeucXijJBYO6mOO5imySPPT3uZXg==" saltValue="3aaVtRhu/8A6LXUu9hyXu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KM14vdcY9FrlPXXYIAN9kfZS+k7VDR9PHowOerprD/rokskrbcYLwWaI2g3hN05hZ+xRoGiiak9v3C9TYy329Q==" saltValue="b1nGwTn3UX1jrFmbE6B7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SANTA CRUZ DE TENERIFE</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ojd0MhZSQ3r/QYqt8iehI/5osD0o867wLk5syCSza9wUSkRa+X4uHNtc6X+A0iG9819F+BIWArV7T+IEVmVQw==" saltValue="msnOSJ4AmNu+4YjaQy33O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CANARIAS</v>
      </c>
      <c r="F1" s="856"/>
    </row>
    <row r="2" spans="1:75" ht="16.5" customHeight="1">
      <c r="C2" s="567" t="str">
        <f>Criterios!A10 &amp;"  "&amp;Criterios!B10 &amp; "  " &amp; IF(NOT(ISBLANK(Criterios!A11)),Criterios!A11 &amp;"  "&amp;Criterios!B11,"")</f>
        <v>Provincias  SANTA CRUZ DE TENERIFE  Resumenes por Partidos Judiciales  VALVERDE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0.24642857142857144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0.17425131393525636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PboLQAoBJ5Xb65O7qHW0lAnDZ+gThlyMbppNxLS0OWH+fGDCRyjA6990bQejq1yW2QstapG92dohmtEknn0Ltw==" saltValue="6cbPdwkKdw/BNuap0V1AE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lzcVF06+E09ZVg4VdSjvm8Sn/MOXYxbWVzxlgAa+Xl2xf+NIYVSblaZJ+5EnQZwziwE0DX06lQRkVCM7u1u4tQ==" saltValue="qPC+iCaGL4x7wesXmtH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CANARIAS</v>
      </c>
      <c r="C2" s="436"/>
      <c r="D2" s="436"/>
      <c r="E2" s="436"/>
      <c r="F2" s="436"/>
    </row>
    <row r="3" spans="1:14" ht="19.5">
      <c r="A3" s="438" t="s">
        <v>159</v>
      </c>
      <c r="B3" s="439" t="str">
        <f>Criterios!A10 &amp;"  "&amp;Criterios!B10</f>
        <v>Provincias  SANTA CRUZ DE TENERIFE</v>
      </c>
      <c r="D3" s="436"/>
      <c r="E3" s="436"/>
      <c r="F3" s="436"/>
    </row>
    <row r="4" spans="1:14" ht="13.5" thickBot="1">
      <c r="A4" s="436"/>
      <c r="B4" s="439" t="str">
        <f>Criterios!A11 &amp;"  "&amp;Criterios!B11</f>
        <v>Resumenes por Partidos Judiciales  VALVERDE</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2</v>
      </c>
      <c r="F10" s="452">
        <f>IF(ISNUMBER(E10/B10),E10/B10," - ")</f>
        <v>2</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288</v>
      </c>
      <c r="D12" s="452">
        <f>IF(ISNUMBER(C12/Datos!BH12),C12/Datos!BH12," - ")</f>
        <v>288</v>
      </c>
      <c r="E12" s="451">
        <f>IF(ISNUMBER(IF(J_V="SI",Datos!J12,Datos!J12+Datos!Z12)),IF(J_V="SI",Datos!J12,Datos!J12+Datos!Z12)," - ")</f>
        <v>379</v>
      </c>
      <c r="F12" s="452">
        <f>IF(ISNUMBER(E12/B12),E12/B12," - ")</f>
        <v>379</v>
      </c>
      <c r="G12" s="451">
        <f>IF(ISNUMBER(IF(J_V="SI",Datos!K12,Datos!K12+Datos!AA12)),IF(J_V="SI",Datos!K12,Datos!K12+Datos!AA12)," - ")</f>
        <v>280</v>
      </c>
      <c r="H12" s="452">
        <f>IF(ISNUMBER(G12/B12),G12/B12," - ")</f>
        <v>280</v>
      </c>
      <c r="I12" s="451">
        <f>IF(ISNUMBER(IF(J_V="SI",Datos!L12,Datos!L12+Datos!AB12)),IF(J_V="SI",Datos!L12,Datos!L12+Datos!AB12)," - ")</f>
        <v>334</v>
      </c>
      <c r="J12" s="452">
        <f>IF(ISNUMBER(I12/B12),I12/B12," - ")</f>
        <v>334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288</v>
      </c>
      <c r="D14" s="1147" t="str">
        <f>IF(ISNUMBER(C14/Datos!BI14),C14/Datos!BI14," - ")</f>
        <v xml:space="preserve"> - </v>
      </c>
      <c r="E14" s="1146">
        <f>SUBTOTAL(9,E8:E13)</f>
        <v>381</v>
      </c>
      <c r="F14" s="1147">
        <f>IF(ISNUMBER(E14/B14),E14/B14," - ")</f>
        <v>381</v>
      </c>
      <c r="G14" s="1146">
        <f>SUBTOTAL(9,G8:G13)</f>
        <v>280</v>
      </c>
      <c r="H14" s="1147">
        <f>IF(ISNUMBER(G14/B14),G14/B14," - ")</f>
        <v>280</v>
      </c>
      <c r="I14" s="1146">
        <f>SUBTOTAL(9,I8:I13)</f>
        <v>336</v>
      </c>
      <c r="J14" s="1147">
        <f>IF(ISNUMBER(I14/B14),I14/B14," - ")</f>
        <v>336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124</v>
      </c>
      <c r="D17" s="452">
        <f>IF(ISNUMBER(C17/Datos!BH17),C17/Datos!BH17," - ")</f>
        <v>124</v>
      </c>
      <c r="E17" s="451">
        <f>IF(ISNUMBER(IF(D_I="SI",Datos!J17,Datos!J17+Datos!AD17)),IF(D_I="SI",Datos!J17,Datos!J17+Datos!AD17)," - ")</f>
        <v>325</v>
      </c>
      <c r="F17" s="452">
        <f>IF(ISNUMBER(E17/B17),E17/B17," - ")</f>
        <v>325</v>
      </c>
      <c r="G17" s="451">
        <f>IF(ISNUMBER(IF(D_I="SI",Datos!K17,Datos!K17+Datos!AE17)),IF(D_I="SI",Datos!K17,Datos!K17+Datos!AE17)," - ")</f>
        <v>364</v>
      </c>
      <c r="H17" s="452">
        <f>IF(ISNUMBER(G17/B17),G17/B17," - ")</f>
        <v>364</v>
      </c>
      <c r="I17" s="451">
        <f>IF(ISNUMBER(IF(D_I="SI",Datos!L17,Datos!L17+Datos!AF17)),IF(D_I="SI",Datos!L17,Datos!L17+Datos!AF17)," - ")</f>
        <v>94</v>
      </c>
      <c r="J17" s="452">
        <f>IF(ISNUMBER(I17/B17),I17/B17," - ")</f>
        <v>94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4</v>
      </c>
      <c r="D18" s="452">
        <f>IF(ISNUMBER(C18/Datos!BH18),C18/Datos!BH18," - ")</f>
        <v>4</v>
      </c>
      <c r="E18" s="451">
        <f>IF(ISNUMBER(IF(D_I="SI",Datos!J18,Datos!J18+Datos!AD18)),IF(D_I="SI",Datos!J18,Datos!J18+Datos!AD18)," - ")</f>
        <v>17</v>
      </c>
      <c r="F18" s="452">
        <f>IF(ISNUMBER(E18/B18),E18/B18," - ")</f>
        <v>17</v>
      </c>
      <c r="G18" s="451">
        <f>IF(ISNUMBER(IF(D_I="SI",Datos!K18,Datos!K18+Datos!AE18)),IF(D_I="SI",Datos!K18,Datos!K18+Datos!AE18)," - ")</f>
        <v>21</v>
      </c>
      <c r="H18" s="452">
        <f>IF(ISNUMBER(G18/B18),G18/B18," - ")</f>
        <v>21</v>
      </c>
      <c r="I18" s="451">
        <f>IF(ISNUMBER(IF(D_I="SI",Datos!L18,Datos!L18+Datos!AF18)),IF(D_I="SI",Datos!L18,Datos!L18+Datos!AF18)," - ")</f>
        <v>0</v>
      </c>
      <c r="J18" s="452">
        <f>IF(ISNUMBER(I18/B18),I18/B18," - ")</f>
        <v>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128</v>
      </c>
      <c r="D23" s="1147" t="str">
        <f>IF(ISNUMBER(C23/Datos!BI23),C23/Datos!BI23," - ")</f>
        <v xml:space="preserve"> - </v>
      </c>
      <c r="E23" s="1146">
        <f>SUBTOTAL(9,E15:E22)</f>
        <v>342</v>
      </c>
      <c r="F23" s="1147">
        <f>IF(ISNUMBER(E23/B23),E23/B23," - ")</f>
        <v>342</v>
      </c>
      <c r="G23" s="1146">
        <f>SUBTOTAL(9,G15:G22)</f>
        <v>385</v>
      </c>
      <c r="H23" s="1147">
        <f>IF(ISNUMBER(G23/B23),G23/B23," - ")</f>
        <v>385</v>
      </c>
      <c r="I23" s="1146">
        <f>SUBTOTAL(9,I15:I22)</f>
        <v>94</v>
      </c>
      <c r="J23" s="1147">
        <f>IF(ISNUMBER(I23/B23),I23/B23," - ")</f>
        <v>94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416</v>
      </c>
      <c r="D31" s="1085" t="str">
        <f>IF(ISNUMBER(C31/Datos!BI31),C31/Datos!BI31," - ")</f>
        <v xml:space="preserve"> - </v>
      </c>
      <c r="E31" s="1084">
        <f>SUBTOTAL(9,E9:E30)</f>
        <v>723</v>
      </c>
      <c r="F31" s="1085">
        <f>IF(ISNUMBER(E31/B31),E31/B31," - ")</f>
        <v>723</v>
      </c>
      <c r="G31" s="1084">
        <f>SUBTOTAL(9,G9:G30)</f>
        <v>665</v>
      </c>
      <c r="H31" s="1085">
        <f>IF(ISNUMBER(G31/B31),G31/B31," - ")</f>
        <v>665</v>
      </c>
      <c r="I31" s="1084">
        <f>SUBTOTAL(9,I9:I30)</f>
        <v>430</v>
      </c>
      <c r="J31" s="1085">
        <f>IF(ISNUMBER(I31/B31),I31/B31," - ")</f>
        <v>430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oyAjk5/e+hG7nkRKJ3vCdaL07bTRu9Pbzpl+NHmlpTUUMDDVMDS98x5I19d+4uy/N+5rM6kzQpjvzDtjd8772w==" saltValue="6eXmL82j/RqJjlPAnCUl+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CANARIAS</v>
      </c>
      <c r="F1" s="856"/>
      <c r="W1"/>
      <c r="X1"/>
      <c r="BE1" s="856"/>
    </row>
    <row r="2" spans="1:65" ht="16.5" customHeight="1">
      <c r="C2" s="567" t="str">
        <f>Criterios!A10 &amp;"  "&amp;Criterios!B10 &amp; "  " &amp; IF(NOT(ISBLANK(Criterios!A11)),Criterios!A11 &amp;"  "&amp;Criterios!B11,"")</f>
        <v>Provincias  SANTA CRUZ DE TENERIFE  Resumenes por Partidos Judiciales  VALVERDE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96</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403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69</v>
      </c>
      <c r="AM12" s="914">
        <f>IF(ISNUMBER(Datos!N12+DatosP!N17),Datos!N12+DatosP!N17," - ")</f>
        <v>75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13.121428571428572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0.27531645569620256</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96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9</v>
      </c>
      <c r="AE14" s="1257">
        <f t="shared" si="1"/>
        <v>0</v>
      </c>
      <c r="AF14" s="1257">
        <f t="shared" si="1"/>
        <v>2</v>
      </c>
      <c r="AG14" s="1257">
        <f t="shared" si="1"/>
        <v>0</v>
      </c>
      <c r="AH14" s="1257">
        <f t="shared" si="1"/>
        <v>403</v>
      </c>
      <c r="AI14" s="1257">
        <f t="shared" si="1"/>
        <v>0</v>
      </c>
      <c r="AJ14" s="1257">
        <f t="shared" si="1"/>
        <v>0</v>
      </c>
      <c r="AK14" s="1257">
        <f t="shared" si="1"/>
        <v>0</v>
      </c>
      <c r="AL14" s="1257">
        <f t="shared" si="1"/>
        <v>69</v>
      </c>
      <c r="AM14" s="1257">
        <f t="shared" si="1"/>
        <v>75</v>
      </c>
      <c r="AN14" s="1257">
        <f t="shared" si="1"/>
        <v>0</v>
      </c>
      <c r="AO14" s="1257">
        <f t="shared" si="1"/>
        <v>0</v>
      </c>
      <c r="AP14" s="1262">
        <f>IF(ISNUMBER(((Datos!L14/Datos!K14)*11)/factor_trimestre),((Datos!L14/Datos!K14)*11)/factor_trimestre," - ")</f>
        <v>14.064885496183205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0.27531645569620256</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2.6857142857142855</v>
      </c>
      <c r="AQ23" s="1262">
        <f>IF(ISNUMBER(((Datos!M23/Datos!L23)*11)/factor_trimestre),((Datos!M23/Datos!L23)*11)/factor_trimestre," - ")</f>
        <v>7.8404255319148932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-0.3</v>
      </c>
      <c r="AW23" s="1265">
        <f>IF(ISNUMBER((Datos!Q23-Datos!R23)/(Datos!S23-Datos!Q23+Datos!R23)),(Datos!Q23-Datos!R23)/(Datos!S23-Datos!Q23+Datos!R23)," - ")</f>
        <v>2.9197080291970802E-2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96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9</v>
      </c>
      <c r="AE31" s="1284">
        <f t="shared" si="9"/>
        <v>0</v>
      </c>
      <c r="AF31" s="1285">
        <f t="shared" si="9"/>
        <v>2</v>
      </c>
      <c r="AG31" s="1285">
        <f t="shared" si="9"/>
        <v>0</v>
      </c>
      <c r="AH31" s="1285">
        <f t="shared" si="9"/>
        <v>403</v>
      </c>
      <c r="AI31" s="1285">
        <f t="shared" si="9"/>
        <v>0</v>
      </c>
      <c r="AJ31" s="1286">
        <f t="shared" si="9"/>
        <v>0</v>
      </c>
      <c r="AK31" s="1286">
        <f t="shared" si="9"/>
        <v>0</v>
      </c>
      <c r="AL31" s="1278">
        <f t="shared" si="9"/>
        <v>69</v>
      </c>
      <c r="AM31" s="1278">
        <f t="shared" si="9"/>
        <v>75</v>
      </c>
      <c r="AN31" s="1278">
        <f t="shared" si="9"/>
        <v>0</v>
      </c>
      <c r="AO31" s="1278">
        <f t="shared" si="9"/>
        <v>0</v>
      </c>
      <c r="AP31" s="1278">
        <f>IF(ISNUMBER(((Datos!L31/Datos!K31)*11)/factor_trimestre),((Datos!L31/Datos!K31)*11)/factor_trimestre," - ")</f>
        <v>7.2936630602782078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0.22543352601156069</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35.631446785108231</v>
      </c>
      <c r="AM33" s="1006"/>
      <c r="AN33" s="1006">
        <f>IF(ISNUMBER(STDEV(AN8:AN30)),STDEV(AN8:AN30),"-")</f>
        <v>0</v>
      </c>
      <c r="AO33" s="1012">
        <f>IF(ISNUMBER(STDEV(AO8:AO30)),STDEV(AO8:AO30),"-")</f>
        <v>0</v>
      </c>
      <c r="AP33" s="1065">
        <f>IF(ISNUMBER(STDEV(AP8:AP30)),STDEV(AP8:AP30),"-")</f>
        <v>6.3150584724014172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sNyAhpQAHZNutcutoPba9cXkDIlvbn7aSrOfSFpAcqyskQVeBewZXXUBbVMQL6Ywz64tnS6AW4yuqkk6j5Fl6g==" saltValue="YB4p3lNSF+ST8UiTcGmSR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CANARIAS</v>
      </c>
      <c r="C2" s="436"/>
      <c r="E2" s="436"/>
      <c r="F2" s="436"/>
      <c r="G2" s="436"/>
      <c r="H2" s="436"/>
    </row>
    <row r="3" spans="1:15" ht="39">
      <c r="A3" s="463" t="s">
        <v>280</v>
      </c>
      <c r="B3" s="439" t="str">
        <f>Criterios!A10 &amp;"  "&amp;Criterios!B10</f>
        <v>Provincias  SANTA CRUZ DE TENERIFE</v>
      </c>
      <c r="C3" s="463"/>
      <c r="F3" s="436"/>
      <c r="G3" s="436"/>
      <c r="H3" s="436"/>
    </row>
    <row r="4" spans="1:15" ht="13.5" thickBot="1">
      <c r="A4" s="436"/>
      <c r="B4" s="439" t="str">
        <f>Criterios!A11 &amp;"  "&amp;Criterios!B11</f>
        <v>Resumenes por Partidos Judiciales  VALVERDE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nn+CDGLOL5VL+Sx65ShcaCQ30YZQsoG+UhOF5qpWgTjMnvUOLYBZyTR81otjqnDxLYkdJG6+nID0MvkOn4Zs5g==" saltValue="zixxHHW9pw79j41qEE8Ru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CANARIAS</v>
      </c>
      <c r="C2" s="475"/>
      <c r="D2" s="418"/>
    </row>
    <row r="3" spans="1:9" ht="19.5">
      <c r="A3" s="476" t="s">
        <v>16</v>
      </c>
      <c r="B3" s="477" t="str">
        <f>Criterios!A10 &amp;"  "&amp;Criterios!B10</f>
        <v>Provincias  SANTA CRUZ DE TENERIFE</v>
      </c>
      <c r="C3" s="475"/>
      <c r="D3" s="476"/>
    </row>
    <row r="4" spans="1:9" ht="13.5" thickBot="1">
      <c r="B4" s="477" t="str">
        <f>Criterios!A11 &amp;"  "&amp;Criterios!B11</f>
        <v>Resumenes por Partidos Judiciales  VALVERDE</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69</v>
      </c>
      <c r="E12" s="452">
        <f t="shared" si="0"/>
        <v>69</v>
      </c>
      <c r="F12" s="451">
        <f>IF(ISNUMBER(Datos!N12),Datos!N12," - ")</f>
        <v>75</v>
      </c>
      <c r="G12" s="452">
        <f t="shared" si="1"/>
        <v>75</v>
      </c>
      <c r="H12" s="451">
        <f>IF(ISNUMBER(Datos!O12),Datos!O12," - ")</f>
        <v>57</v>
      </c>
      <c r="I12" s="452">
        <f t="shared" si="2"/>
        <v>57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69</v>
      </c>
      <c r="E14" s="1147">
        <f t="shared" si="0"/>
        <v>34.5</v>
      </c>
      <c r="F14" s="1146">
        <f>SUBTOTAL(9,F9:F13)</f>
        <v>75</v>
      </c>
      <c r="G14" s="1147">
        <f t="shared" si="1"/>
        <v>37.5</v>
      </c>
      <c r="H14" s="1146">
        <f>SUBTOTAL(9,H9:H13)</f>
        <v>57</v>
      </c>
      <c r="I14" s="1147">
        <f>IF(ISNUMBER(H14/B14),H14/B14," - ")</f>
        <v>28.5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65</v>
      </c>
      <c r="E17" s="452">
        <f t="shared" si="3"/>
        <v>65</v>
      </c>
      <c r="F17" s="451">
        <f>IF(ISNUMBER(Datos!N17),Datos!N17," - ")</f>
        <v>231</v>
      </c>
      <c r="G17" s="452">
        <f t="shared" si="4"/>
        <v>231</v>
      </c>
      <c r="H17" s="451">
        <f>IF(ISNUMBER(Datos!O17),Datos!O17," - ")</f>
        <v>0</v>
      </c>
      <c r="I17" s="452">
        <f t="shared" si="5"/>
        <v>0</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19</v>
      </c>
      <c r="G18" s="452">
        <f>IF(ISNUMBER(F18/B18),F18/B18," - ")</f>
        <v>19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67</v>
      </c>
      <c r="E23" s="1147">
        <f t="shared" si="3"/>
        <v>33.5</v>
      </c>
      <c r="F23" s="1146">
        <f>SUBTOTAL(9,F16:F22)</f>
        <v>250</v>
      </c>
      <c r="G23" s="1147">
        <f t="shared" si="4"/>
        <v>125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136</v>
      </c>
      <c r="E31" s="1085">
        <f>IF(ISNUMBER(D31/B31),D31/B31," - ")</f>
        <v>136</v>
      </c>
      <c r="F31" s="1084">
        <f>SUBTOTAL(9,F8:F30)</f>
        <v>325</v>
      </c>
      <c r="G31" s="1085">
        <f>IF(ISNUMBER(F31/B31),F31/B31," - ")</f>
        <v>325</v>
      </c>
      <c r="H31" s="1084">
        <f>SUBTOTAL(9,H8:H30)</f>
        <v>57</v>
      </c>
      <c r="I31" s="1085">
        <f>IF(ISNUMBER(H31/B31),H31/B31," - ")</f>
        <v>57</v>
      </c>
    </row>
    <row r="34" spans="1:1">
      <c r="A34" s="439" t="str">
        <f>Criterios!A4</f>
        <v>Fecha Informe: 14 abr. 2023</v>
      </c>
    </row>
    <row r="39" spans="1:1">
      <c r="A39" s="462"/>
    </row>
  </sheetData>
  <sheetProtection algorithmName="SHA-512" hashValue="zIxUnAZyFGKYpI2Haana5+mWFALqcNvPE3VLhCWd0IDnP7W7dh7LaR5/P+CKOFeSylsDpQ5yPVlDWGzfA0rfbA==" saltValue="NhgYXYbPLMdbrvOIQFz7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CANARIAS</v>
      </c>
    </row>
    <row r="3" spans="1:4" ht="19.5">
      <c r="A3" s="484" t="s">
        <v>48</v>
      </c>
      <c r="B3" s="439" t="str">
        <f>Criterios!A10 &amp;"  "&amp;Criterios!B10</f>
        <v>Provincias  SANTA CRUZ DE TENERIFE</v>
      </c>
    </row>
    <row r="4" spans="1:4" ht="13.5" thickBot="1">
      <c r="B4" s="439" t="str">
        <f>Criterios!A11 &amp;"  "&amp;Criterios!B11</f>
        <v>Resumenes por Partidos Judiciales  VALVERDE</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96</v>
      </c>
      <c r="C12" s="489">
        <f>IF(ISNUMBER(Datos!Q12),Datos!Q12," - ")</f>
        <v>9</v>
      </c>
      <c r="D12" s="456">
        <f>IF(ISNUMBER(Datos!R12),Datos!R12," - ")</f>
        <v>403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96</v>
      </c>
      <c r="C14" s="1150">
        <f>SUBTOTAL(9,C9:C13)</f>
        <v>9</v>
      </c>
      <c r="D14" s="1148">
        <f>SUBTOTAL(9,D9:D13)</f>
        <v>403</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16</v>
      </c>
      <c r="C17" s="489">
        <f>IF(ISNUMBER(Datos!Q17),Datos!Q17," - ")</f>
        <v>25</v>
      </c>
      <c r="D17" s="456">
        <f>IF(ISNUMBER(Datos!R17),Datos!R17," - ")</f>
        <v>21</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16</v>
      </c>
      <c r="C23" s="1150">
        <f>SUBTOTAL(9,C16:C22)</f>
        <v>25</v>
      </c>
      <c r="D23" s="1148">
        <f>SUBTOTAL(9,D16:D22)</f>
        <v>21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112</v>
      </c>
      <c r="C31" s="1089">
        <f>SUBTOTAL(9,C8:C30)</f>
        <v>34</v>
      </c>
      <c r="D31" s="1090">
        <f>SUBTOTAL(9,D8:D30)</f>
        <v>424</v>
      </c>
    </row>
    <row r="32" spans="1:4" ht="7.5" customHeight="1"/>
    <row r="33" spans="1:1" ht="6" customHeight="1"/>
    <row r="34" spans="1:1">
      <c r="A34" s="439" t="str">
        <f>Criterios!A4</f>
        <v>Fecha Informe: 14 abr. 2023</v>
      </c>
    </row>
    <row r="39" spans="1:1">
      <c r="A39" s="462"/>
    </row>
  </sheetData>
  <sheetProtection algorithmName="SHA-512" hashValue="c08tFrQ3IdEUhNDbsaraIiowZXCLMKNnCn7aXLnzyyj3Nxm5it/pM7MMyCE9B/XOROWKyaznWO1aYuok50GcNA==" saltValue="tvUYVoCMz/9hD6cxA2hiX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CANARIAS</v>
      </c>
    </row>
    <row r="3" spans="1:11" ht="18.75" customHeight="1">
      <c r="A3" s="484" t="s">
        <v>162</v>
      </c>
      <c r="B3" s="439" t="str">
        <f>Criterios!A10 &amp;"  "&amp;Criterios!B10</f>
        <v>Provincias  SANTA CRUZ DE TENERIFE</v>
      </c>
    </row>
    <row r="4" spans="1:11" ht="10.5" customHeight="1" thickBot="1">
      <c r="B4" s="439" t="str">
        <f>Criterios!A11 &amp;"  "&amp;Criterios!B11</f>
        <v>Resumenes por Partidos Judiciales  VALVERDE</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-2.3728813559322035E-2</v>
      </c>
      <c r="C12" s="515">
        <f>IF(ISNUMBER(
   IF(J_V="SI",(Datos!J12-Datos!T12)/Datos!T12,(Datos!J12+Datos!Z12-(Datos!T12+Datos!AH12))/(Datos!T12+Datos!AH12))
     ),IF(J_V="SI",(Datos!J12-Datos!T12)/Datos!T12,(Datos!J12+Datos!Z12-(Datos!T12+Datos!AH12))/(Datos!T12+Datos!AH12))," - ")</f>
        <v>0.14501510574018128</v>
      </c>
      <c r="D12" s="515">
        <f>IF(ISNUMBER(
   IF(J_V="SI",(Datos!K12-Datos!U12)/Datos!U12,(Datos!K12+Datos!AA12-(Datos!U12+Datos!AI12))/(Datos!U12+Datos!AI12))
     ),IF(J_V="SI",(Datos!K12-Datos!U12)/Datos!U12,(Datos!K12+Datos!AA12-(Datos!U12+Datos!AI12))/(Datos!U12+Datos!AI12))," - ")</f>
        <v>-0.21787709497206703</v>
      </c>
      <c r="E12" s="515">
        <f>IF(ISNUMBER(
   IF(J_V="SI",(Datos!L12-Datos!V12)/Datos!V12,(Datos!L12+Datos!AB12-(Datos!V12+Datos!AJ12))/(Datos!V12+Datos!AJ12))
     ),IF(J_V="SI",(Datos!L12-Datos!V12)/Datos!V12,(Datos!L12+Datos!AB12-(Datos!V12+Datos!AJ12))/(Datos!V12+Datos!AJ12))," - ")</f>
        <v>0.15972222222222221</v>
      </c>
      <c r="F12" s="515">
        <f>IF(ISNUMBER((Datos!M12-Datos!W12)/Datos!W12),(Datos!M12-Datos!W12)/Datos!W12," - ")</f>
        <v>-0.4152542372881356</v>
      </c>
      <c r="G12" s="516">
        <f>IF(ISNUMBER((Datos!N12-Datos!X12)/Datos!X12),(Datos!N12-Datos!X12)/Datos!X12," - ")</f>
        <v>14</v>
      </c>
      <c r="H12" s="514">
        <f>IF(ISNUMBER(((NºAsuntos!G12/NºAsuntos!E12)-Datos!BD12)/Datos!BD12),((NºAsuntos!G12/NºAsuntos!E12)-Datos!BD12)/Datos!BD12," - ")</f>
        <v>-0.31693223861676573</v>
      </c>
      <c r="I12" s="515">
        <f>IF(ISNUMBER(((NºAsuntos!I12/NºAsuntos!G12)-Datos!BE12)/Datos!BE12),((NºAsuntos!I12/NºAsuntos!G12)-Datos!BE12)/Datos!BE12," - ")</f>
        <v>0.48278769841269831</v>
      </c>
      <c r="J12" s="521">
        <f>IF(ISNUMBER((('Resol  Asuntos'!D12/NºAsuntos!G12)-Datos!BF12)/Datos!BF12),(('Resol  Asuntos'!D12/NºAsuntos!G12)-Datos!BF12)/Datos!BF12," - ")</f>
        <v>16.644285714285715</v>
      </c>
      <c r="K12" s="522">
        <f>IF(ISNUMBER((((NºAsuntos!C12+NºAsuntos!E12)/NºAsuntos!G12)-Datos!BG12)/Datos!BG12),(((NºAsuntos!C12+NºAsuntos!E12)/NºAsuntos!G12)-Datos!BG12)/Datos!BG12," - ")</f>
        <v>0.3623117298037426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-2.3728813559322035E-2</v>
      </c>
      <c r="C14" s="1152">
        <f>IF(ISNUMBER(
   IF(J_V="SI",(Datos!J14-Datos!T14)/Datos!T14,(Datos!J14+Datos!Z14-(Datos!T14+Datos!AH14))/(Datos!T14+Datos!AH14))
     ),IF(J_V="SI",(Datos!J14-Datos!T14)/Datos!T14,(Datos!J14+Datos!Z14-(Datos!T14+Datos!AH14))/(Datos!T14+Datos!AH14))," - ")</f>
        <v>0.15105740181268881</v>
      </c>
      <c r="D14" s="1152">
        <f>IF(ISNUMBER(
   IF(J_V="SI",(Datos!K14-Datos!U14)/Datos!U14,(Datos!K14+Datos!AA14-(Datos!U14+Datos!AI14))/(Datos!U14+Datos!AI14))
     ),IF(J_V="SI",(Datos!K14-Datos!U14)/Datos!U14,(Datos!K14+Datos!AA14-(Datos!U14+Datos!AI14))/(Datos!U14+Datos!AI14))," - ")</f>
        <v>-0.21787709497206703</v>
      </c>
      <c r="E14" s="1152">
        <f>IF(ISNUMBER(
   IF(J_V="SI",(Datos!L14-Datos!V14)/Datos!V14,(Datos!L14+Datos!AB14-(Datos!V14+Datos!AJ14))/(Datos!V14+Datos!AJ14))
     ),IF(J_V="SI",(Datos!L14-Datos!V14)/Datos!V14,(Datos!L14+Datos!AB14-(Datos!V14+Datos!AJ14))/(Datos!V14+Datos!AJ14))," - ")</f>
        <v>0.16666666666666666</v>
      </c>
      <c r="F14" s="1153">
        <f>IF(ISNUMBER((Datos!M14-Datos!W14)/Datos!W14),(Datos!M14-Datos!W14)/Datos!W14," - ")</f>
        <v>-0.4152542372881356</v>
      </c>
      <c r="G14" s="1154">
        <f>IF(ISNUMBER((Datos!N14-Datos!X14)/Datos!X14),(Datos!N14-Datos!X14)/Datos!X14," - ")</f>
        <v>14</v>
      </c>
      <c r="H14" s="1154">
        <f>IF(ISNUMBER(((NºAsuntos!G14/NºAsuntos!E14)-Datos!BD14)/Datos!BD14),((NºAsuntos!G14/NºAsuntos!E14)-Datos!BD14)/Datos!BD14," - ")</f>
        <v>-0.32051789615683524</v>
      </c>
      <c r="I14" s="1154">
        <f>IF(ISNUMBER(((NºAsuntos!I14/NºAsuntos!G14)-Datos!BE14)/Datos!BE14),((NºAsuntos!I14/NºAsuntos!G14)-Datos!BE14)/Datos!BE14," - ")</f>
        <v>0.49166666666666653</v>
      </c>
      <c r="J14" s="1154">
        <f>IF(ISNUMBER((('Resol  Asuntos'!D14/NºAsuntos!G14)-Datos!BF14)/Datos!BF14),(('Resol  Asuntos'!D14/NºAsuntos!G14)-Datos!BF14)/Datos!BF14," - ")</f>
        <v>16.644285714285715</v>
      </c>
      <c r="K14" s="1154">
        <f>IF(ISNUMBER((((NºAsuntos!C14+NºAsuntos!E14)/NºAsuntos!G14)-Datos!BG14)/Datos!BG14),(((NºAsuntos!C14+NºAsuntos!E14)/NºAsuntos!G14)-Datos!BG14)/Datos!BG14," - ")</f>
        <v>0.36639662254678229</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-7.4626865671641784E-2</v>
      </c>
      <c r="C17" s="515">
        <f>IF(ISNUMBER(
   IF(D_I="SI",(Datos!J17-Datos!T17)/Datos!T17,(Datos!J17+Datos!AD17-(Datos!T17+Datos!AL17))/(Datos!T17+Datos!AL17))
     ),IF(D_I="SI",(Datos!J17-Datos!T17)/Datos!T17,(Datos!J17+Datos!AD17-(Datos!T17+Datos!AL17))/(Datos!T17+Datos!AL17))," - ")</f>
        <v>0.11683848797250859</v>
      </c>
      <c r="D17" s="515">
        <f>IF(ISNUMBER(
   IF(D_I="SI",(Datos!K17-Datos!U17)/Datos!U17,(Datos!K17+Datos!AE17-(Datos!U17+Datos!AM17))/(Datos!U17+Datos!AM17))
     ),IF(D_I="SI",(Datos!K17-Datos!U17)/Datos!U17,(Datos!K17+Datos!AE17-(Datos!U17+Datos!AM17))/(Datos!U17+Datos!AM17))," - ")</f>
        <v>0.20930232558139536</v>
      </c>
      <c r="E17" s="515">
        <f>IF(ISNUMBER(
   IF(D_I="SI",(Datos!L17-Datos!V17)/Datos!V17,(Datos!L17+Datos!AF17-(Datos!V17+Datos!AN17))/(Datos!V17+Datos!AN17))
     ),IF(D_I="SI",(Datos!L17-Datos!V17)/Datos!V17,(Datos!L17+Datos!AF17-(Datos!V17+Datos!AN17))/(Datos!V17+Datos!AN17))," - ")</f>
        <v>-0.24193548387096775</v>
      </c>
      <c r="F17" s="515">
        <f>IF(ISNUMBER((Datos!M17-Datos!W17)/Datos!W17),(Datos!M17-Datos!W17)/Datos!W17," - ")</f>
        <v>-5.7971014492753624E-2</v>
      </c>
      <c r="G17" s="516">
        <f>IF(ISNUMBER((Datos!N17-Datos!X17)/Datos!X17),(Datos!N17-Datos!X17)/Datos!X17," - ")</f>
        <v>8.9622641509433956E-2</v>
      </c>
      <c r="H17" s="514">
        <f>IF(ISNUMBER(((NºAsuntos!G17/NºAsuntos!E17)-Datos!BD17)/Datos!BD17),((NºAsuntos!G17/NºAsuntos!E17)-Datos!BD17)/Datos!BD17," - ")</f>
        <v>8.2790697674418601E-2</v>
      </c>
      <c r="I17" s="515">
        <f>IF(ISNUMBER(((NºAsuntos!I17/NºAsuntos!G17)-Datos!BE17)/Datos!BE17),((NºAsuntos!I17/NºAsuntos!G17)-Datos!BE17)/Datos!BE17," - ")</f>
        <v>-0.37313895781637707</v>
      </c>
      <c r="J17" s="521">
        <f>IF(ISNUMBER((('Resol  Asuntos'!D17/NºAsuntos!G17)-Datos!BF17)/Datos!BF17),(('Resol  Asuntos'!D17/NºAsuntos!G17)-Datos!BF17)/Datos!BF17," - ")</f>
        <v>-0.22101449275362317</v>
      </c>
      <c r="K17" s="522">
        <f>IF(ISNUMBER((((NºAsuntos!C17+NºAsuntos!E17)/NºAsuntos!G17)-Datos!BG17)/Datos!BG17),(((NºAsuntos!C17+NºAsuntos!E17)/NºAsuntos!G17)-Datos!BG17)/Datos!BG17," - ")</f>
        <v>-0.12638009049773755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-0.42857142857142855</v>
      </c>
      <c r="C18" s="515">
        <f>IF(ISNUMBER(
   IF(D_I="SI",(Datos!J18-Datos!T18)/Datos!T18,(Datos!J18+Datos!AD18-(Datos!T18+Datos!AL18))/(Datos!T18+Datos!AL18))
     ),IF(D_I="SI",(Datos!J18-Datos!T18)/Datos!T18,(Datos!J18+Datos!AD18-(Datos!T18+Datos!AL18))/(Datos!T18+Datos!AL18))," - ")</f>
        <v>-0.15</v>
      </c>
      <c r="D18" s="515">
        <f>IF(ISNUMBER(
   IF(D_I="SI",(Datos!K18-Datos!U18)/Datos!U18,(Datos!K18+Datos!AE18-(Datos!U18+Datos!AM18))/(Datos!U18+Datos!AM18))
     ),IF(D_I="SI",(Datos!K18-Datos!U18)/Datos!U18,(Datos!K18+Datos!AE18-(Datos!U18+Datos!AM18))/(Datos!U18+Datos!AM18))," - ")</f>
        <v>-8.6956521739130432E-2</v>
      </c>
      <c r="E18" s="515">
        <f>IF(ISNUMBER(
   IF(D_I="SI",(Datos!L18-Datos!V18)/Datos!V18,(Datos!L18+Datos!AF18-(Datos!V18+Datos!AN18))/(Datos!V18+Datos!AN18))
     ),IF(D_I="SI",(Datos!L18-Datos!V18)/Datos!V18,(Datos!L18+Datos!AF18-(Datos!V18+Datos!AN18))/(Datos!V18+Datos!AN18))," - ")</f>
        <v>-1</v>
      </c>
      <c r="F18" s="515">
        <f>IF(ISNUMBER((Datos!M18-Datos!W18)/Datos!W18),(Datos!M18-Datos!W18)/Datos!W18," - ")</f>
        <v>-0.66666666666666663</v>
      </c>
      <c r="G18" s="516">
        <f>IF(ISNUMBER((Datos!N18-Datos!X18)/Datos!X18),(Datos!N18-Datos!X18)/Datos!X18," - ")</f>
        <v>-0.13636363636363635</v>
      </c>
      <c r="H18" s="514">
        <f>IF(ISNUMBER(((NºAsuntos!G18/NºAsuntos!E18)-Datos!BD18)/Datos!BD18),((NºAsuntos!G18/NºAsuntos!E18)-Datos!BD18)/Datos!BD18," - ")</f>
        <v>7.4168797953964319E-2</v>
      </c>
      <c r="I18" s="515">
        <f>IF(ISNUMBER(((NºAsuntos!I18/NºAsuntos!G18)-Datos!BE18)/Datos!BE18),((NºAsuntos!I18/NºAsuntos!G18)-Datos!BE18)/Datos!BE18," - ")</f>
        <v>-1</v>
      </c>
      <c r="J18" s="521">
        <f>IF(ISNUMBER((('Resol  Asuntos'!D18/NºAsuntos!G18)-Datos!BF18)/Datos!BF18),(('Resol  Asuntos'!D18/NºAsuntos!G18)-Datos!BF18)/Datos!BF18," - ")</f>
        <v>-0.63492063492063489</v>
      </c>
      <c r="K18" s="522">
        <f>IF(ISNUMBER((((NºAsuntos!C18+NºAsuntos!E18)/NºAsuntos!G18)-Datos!BG18)/Datos!BG18),(((NºAsuntos!C18+NºAsuntos!E18)/NºAsuntos!G18)-Datos!BG18)/Datos!BG18," - ")</f>
        <v>-0.14814814814814822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-9.2198581560283682E-2</v>
      </c>
      <c r="C23" s="1152">
        <f>IF(ISNUMBER(
   IF(Criterios!B14="SI",(Datos!J23-Datos!T23)/Datos!T23,(Datos!J23+Datos!AD23-(Datos!T23+Datos!AL23))/(Datos!T23+Datos!AL23))
     ),IF(Criterios!B14="SI",(Datos!J23-Datos!T23)/Datos!T23,(Datos!J23+Datos!AD23-(Datos!T23+Datos!AL23))/(Datos!T23+Datos!AL23))," - ")</f>
        <v>9.9678456591639875E-2</v>
      </c>
      <c r="D23" s="1152">
        <f>IF(ISNUMBER(
   IF(Criterios!B14="SI",(Datos!K23-Datos!U23)/Datos!U23,(Datos!K23+Datos!AE23-(Datos!U23+Datos!AM23))/(Datos!U23+Datos!AM23))
     ),IF(Criterios!B14="SI",(Datos!K23-Datos!U23)/Datos!U23,(Datos!K23+Datos!AE23-(Datos!U23+Datos!AM23))/(Datos!U23+Datos!AM23))," - ")</f>
        <v>0.18827160493827161</v>
      </c>
      <c r="E23" s="1152">
        <f>IF(ISNUMBER(
   IF(Criterios!B14="SI",(Datos!L23-Datos!V23)/Datos!V23,(Datos!L23+Datos!AF23-(Datos!V23+Datos!AN23))/(Datos!V23+Datos!AN23))
     ),IF(Criterios!B14="SI",(Datos!L23-Datos!V23)/Datos!V23,(Datos!L23+Datos!AF23-(Datos!V23+Datos!AN23))/(Datos!V23+Datos!AN23))," - ")</f>
        <v>-0.265625</v>
      </c>
      <c r="F23" s="1153">
        <f>IF(ISNUMBER((Datos!M23-Datos!W23)/Datos!W23),(Datos!M23-Datos!W23)/Datos!W23," - ")</f>
        <v>-0.10666666666666667</v>
      </c>
      <c r="G23" s="1154">
        <f>IF(ISNUMBER((Datos!N23-Datos!X23)/Datos!X23),(Datos!N23-Datos!X23)/Datos!X23," - ")</f>
        <v>6.8376068376068383E-2</v>
      </c>
      <c r="H23" s="1154">
        <f>IF(ISNUMBER(((NºAsuntos!G23/NºAsuntos!E23)-Datos!BD23)/Datos!BD23),((NºAsuntos!G23/NºAsuntos!E23)-Datos!BD23)/Datos!BD23," - ")</f>
        <v>8.05627752508844E-2</v>
      </c>
      <c r="I23" s="1154">
        <f>IF(ISNUMBER(((NºAsuntos!I23/NºAsuntos!G23)-Datos!BE23)/Datos!BE23),((NºAsuntos!I23/NºAsuntos!G23)-Datos!BE23)/Datos!BE23," - ")</f>
        <v>-0.38198051948051948</v>
      </c>
      <c r="J23" s="1154">
        <f>IF(ISNUMBER((('Resol  Asuntos'!D23/NºAsuntos!G23)-Datos!BF23)/Datos!BF23),(('Resol  Asuntos'!D23/NºAsuntos!G23)-Datos!BF23)/Datos!BF23," - ")</f>
        <v>-0.24820779220779221</v>
      </c>
      <c r="K23" s="1154">
        <f>IF(ISNUMBER((((NºAsuntos!C23+NºAsuntos!E23)/NºAsuntos!G23)-Datos!BG23)/Datos!BG23),(((NºAsuntos!C23+NºAsuntos!E23)/NºAsuntos!G23)-Datos!BG23)/Datos!BG23," - ")</f>
        <v>-0.1249281691759568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-4.5871559633027525E-2</v>
      </c>
      <c r="C31" s="1092">
        <f>IF(ISNUMBER(
   IF(J_V="SI",(Datos!J31-Datos!T31)/Datos!T31,(Datos!J31+Datos!Z31-(Datos!T31+Datos!AH31))/(Datos!T31+Datos!AH31))
     ),IF(J_V="SI",(Datos!J31-Datos!T31)/Datos!T31,(Datos!J31+Datos!Z31-(Datos!T31+Datos!AH31))/(Datos!T31+Datos!AH31))," - ")</f>
        <v>0.12616822429906541</v>
      </c>
      <c r="D31" s="1092">
        <f>IF(ISNUMBER(
   IF(J_V="SI",(Datos!K31-Datos!U31)/Datos!U31,(Datos!K31+Datos!AA31-(Datos!U31+Datos!AI31))/(Datos!U31+Datos!AI31))
     ),IF(J_V="SI",(Datos!K31-Datos!U31)/Datos!U31,(Datos!K31+Datos!AA31-(Datos!U31+Datos!AI31))/(Datos!U31+Datos!AI31))," - ")</f>
        <v>-2.4926686217008796E-2</v>
      </c>
      <c r="E31" s="1092">
        <f>IF(ISNUMBER(
   IF(J_V="SI",(Datos!L31-Datos!V31)/Datos!V31,(Datos!L31+Datos!AB31-(Datos!V31+Datos!AJ31))/(Datos!V31+Datos!AJ31))
     ),IF(J_V="SI",(Datos!L31-Datos!V31)/Datos!V31,(Datos!L31+Datos!AB31-(Datos!V31+Datos!AJ31))/(Datos!V31+Datos!AJ31))," - ")</f>
        <v>3.3653846153846152E-2</v>
      </c>
      <c r="F31" s="1093">
        <f>IF(ISNUMBER((Datos!M31-Datos!W31)/Datos!W31),(Datos!M31-Datos!W31)/Datos!W31," - ")</f>
        <v>-0.29533678756476683</v>
      </c>
      <c r="G31" s="1094">
        <f>IF(ISNUMBER((Datos!N31-Datos!X31)/Datos!X31),(Datos!N31-Datos!X31)/Datos!X31," - ")</f>
        <v>0.35983263598326359</v>
      </c>
      <c r="H31" s="1095">
        <f>IF(ISNUMBER((Tasas!B31-Datos!BD31)/Datos!BD31),(Tasas!B31-Datos!BD31)/Datos!BD31," - ")</f>
        <v>-0.13416726493958461</v>
      </c>
      <c r="I31" s="1096">
        <f>IF(ISNUMBER((Tasas!C31-Datos!BE31)/Datos!BE31),(Tasas!C31-Datos!BE31)/Datos!BE31," - ")</f>
        <v>6.0078079814921838E-2</v>
      </c>
      <c r="J31" s="1097">
        <f>IF(ISNUMBER((Tasas!D31-Datos!BF31)/Datos!BF31),(Tasas!D31-Datos!BF31)/Datos!BF31," - ")</f>
        <v>0.74345864661654126</v>
      </c>
      <c r="K31" s="1097">
        <f>IF(ISNUMBER((Tasas!E31-Datos!BG31)/Datos!BG31),(Tasas!E31-Datos!BG31)/Datos!BG31," - ")</f>
        <v>8.359674696946455E-2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kcQ6gqoWDLFiz0PI2ISMdypcgjcSHOG/DjJjpvkOWchir7thVgeMiX7LfQ6Yl0zF8SPAhZ29DI9SKk7lQdsgQ==" saltValue="e/vSAvPlZyv4/GLwvLG2V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CANARIAS</v>
      </c>
    </row>
    <row r="3" spans="1:7" ht="19.5">
      <c r="A3" s="491" t="s">
        <v>17</v>
      </c>
      <c r="B3" s="439" t="str">
        <f>Criterios!A10 &amp;"  "&amp;Criterios!B10</f>
        <v>Provincias  SANTA CRUZ DE TENERIFE</v>
      </c>
    </row>
    <row r="4" spans="1:7" ht="11.25" customHeight="1" thickBot="1">
      <c r="B4" s="439" t="str">
        <f>Criterios!A11 &amp;"  "&amp;Criterios!B11</f>
        <v>Resumenes por Partidos Judiciales  VALVERDE</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0.73878627968337729</v>
      </c>
      <c r="C12" s="498">
        <f>IF(ISNUMBER(NºAsuntos!I12/NºAsuntos!G12),NºAsuntos!I12/NºAsuntos!G12," - ")</f>
        <v>1.1928571428571428</v>
      </c>
      <c r="D12" s="499">
        <f>IF(ISNUMBER('Resol  Asuntos'!D12/NºAsuntos!G12),'Resol  Asuntos'!D12/NºAsuntos!G12," - ")</f>
        <v>0.24642857142857144</v>
      </c>
      <c r="E12" s="500">
        <f>IF(ISNUMBER((NºAsuntos!C12+NºAsuntos!E12)/NºAsuntos!G12),(NºAsuntos!C12+NºAsuntos!E12)/NºAsuntos!G12," - ")</f>
        <v>2.3821428571428571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0.73490813648293962</v>
      </c>
      <c r="C14" s="1156">
        <f>IF(ISNUMBER(NºAsuntos!I14/NºAsuntos!G14),NºAsuntos!I14/NºAsuntos!G14," - ")</f>
        <v>1.2</v>
      </c>
      <c r="D14" s="1157">
        <f>IF(ISNUMBER('Resol  Asuntos'!D14/NºAsuntos!G14),'Resol  Asuntos'!D14/NºAsuntos!G14," - ")</f>
        <v>0.24642857142857144</v>
      </c>
      <c r="E14" s="1158">
        <f>IF(ISNUMBER((NºAsuntos!C14+NºAsuntos!E14)/NºAsuntos!G14),(NºAsuntos!C14+NºAsuntos!E14)/NºAsuntos!G14," - ")</f>
        <v>2.3892857142857142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1.1200000000000001</v>
      </c>
      <c r="C17" s="498">
        <f>IF(ISNUMBER(NºAsuntos!I17/NºAsuntos!G17),NºAsuntos!I17/NºAsuntos!G17," - ")</f>
        <v>0.25824175824175827</v>
      </c>
      <c r="D17" s="499">
        <f>IF(ISNUMBER('Resol  Asuntos'!D17/NºAsuntos!G17),'Resol  Asuntos'!D17/NºAsuntos!G17," - ")</f>
        <v>0.17857142857142858</v>
      </c>
      <c r="E17" s="500">
        <f>IF(ISNUMBER((NºAsuntos!C17+NºAsuntos!E17)/NºAsuntos!G17),(NºAsuntos!C17+NºAsuntos!E17)/NºAsuntos!G17," - ")</f>
        <v>1.2335164835164836</v>
      </c>
      <c r="G17" s="523"/>
    </row>
    <row r="18" spans="1:7">
      <c r="A18" s="450" t="str">
        <f>Datos!A18</f>
        <v>Jdos. Violencia contra la mujer</v>
      </c>
      <c r="B18" s="497">
        <f>IF(ISNUMBER(NºAsuntos!G18/NºAsuntos!E18),NºAsuntos!G18/NºAsuntos!E18," - ")</f>
        <v>1.2352941176470589</v>
      </c>
      <c r="C18" s="498">
        <f>IF(ISNUMBER(NºAsuntos!I18/NºAsuntos!G18),NºAsuntos!I18/NºAsuntos!G18," - ")</f>
        <v>0</v>
      </c>
      <c r="D18" s="499">
        <f>IF(ISNUMBER('Resol  Asuntos'!D18/NºAsuntos!G18),'Resol  Asuntos'!D18/NºAsuntos!G18," - ")</f>
        <v>9.5238095238095233E-2</v>
      </c>
      <c r="E18" s="500">
        <f>IF(ISNUMBER((NºAsuntos!C18+NºAsuntos!E18)/NºAsuntos!G18),(NºAsuntos!C18+NºAsuntos!E18)/NºAsuntos!G18," - ")</f>
        <v>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1.1257309941520468</v>
      </c>
      <c r="C23" s="1156">
        <f>IF(ISNUMBER(NºAsuntos!I23/NºAsuntos!G23),NºAsuntos!I23/NºAsuntos!G23," - ")</f>
        <v>0.24415584415584415</v>
      </c>
      <c r="D23" s="1159">
        <f>IF(ISNUMBER('Resol  Asuntos'!D23/NºAsuntos!G23),'Resol  Asuntos'!D23/NºAsuntos!G23," - ")</f>
        <v>0.17402597402597403</v>
      </c>
      <c r="E23" s="1158">
        <f>IF(ISNUMBER((NºAsuntos!C23+NºAsuntos!E23)/NºAsuntos!G23),(NºAsuntos!C23+NºAsuntos!E23)/NºAsuntos!G23," - ")</f>
        <v>1.2207792207792207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0.91977869986168737</v>
      </c>
      <c r="C31" s="1099">
        <f>IF(ISNUMBER(NºAsuntos!I31/NºAsuntos!G31),NºAsuntos!I31/NºAsuntos!G31," - ")</f>
        <v>0.64661654135338342</v>
      </c>
      <c r="D31" s="1100">
        <f>IF(ISNUMBER('Resol  Asuntos'!D31/NºAsuntos!G31),'Resol  Asuntos'!D31/NºAsuntos!G31," - ")</f>
        <v>0.20451127819548873</v>
      </c>
      <c r="E31" s="1101">
        <f>IF(ISNUMBER((NºAsuntos!C31+NºAsuntos!E31)/NºAsuntos!G31),(NºAsuntos!C31+NºAsuntos!E31)/NºAsuntos!G31," - ")</f>
        <v>1.7127819548872181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2taO3gP/HPXXl4JkAphJSVKF4C2nZiy5GkueOKYNE57CSy0O18rPtpSrxNWhvX/FPIuDwDNqDZL3MVQEHJSw==" saltValue="NRS26SE7r+D5CEh1l/XkF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CANARIAS</v>
      </c>
      <c r="G2" s="369"/>
      <c r="H2" s="368"/>
      <c r="I2" s="368"/>
      <c r="J2" s="368"/>
      <c r="K2" s="368"/>
      <c r="L2" s="368" t="str">
        <f>Criterios!A10 &amp;"  "&amp;Criterios!B10</f>
        <v>Provincias  SANTA CRUZ DE TENERIFE</v>
      </c>
      <c r="N2" s="368" t="str">
        <f>Criterios!A11 &amp;"  "&amp;Criterios!B11</f>
        <v>Resumenes por Partidos Judiciales  VALVERDE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0</v>
      </c>
      <c r="AC10" s="374">
        <f t="shared" ref="AC10:AC13" si="1">IF(ISNUMBER(AA10+AB10),AA10+AB10," - ")</f>
        <v>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96</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9</v>
      </c>
      <c r="Y12" s="374">
        <f t="shared" si="0"/>
        <v>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403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69</v>
      </c>
      <c r="AJ12" s="243" t="str">
        <f>IF(ISNUMBER(Datos!BW12),Datos!BW12," - ")</f>
        <v xml:space="preserve"> - </v>
      </c>
      <c r="AK12" s="242" t="str">
        <f>IF(ISNUMBER(Datos!BX12),Datos!BX12," - ")</f>
        <v xml:space="preserve"> - </v>
      </c>
      <c r="AL12" s="266">
        <f>IF(ISNUMBER(NºAsuntos!G12/NºAsuntos!E12),NºAsuntos!G12/NºAsuntos!E12," - ")</f>
        <v>0.73878627968337729</v>
      </c>
      <c r="AM12" s="284">
        <f>IF(ISNUMBER(((NºAsuntos!I12/NºAsuntos!G12)*11)/factor_trimestre),((NºAsuntos!I12/NºAsuntos!G12)*11)/factor_trimestre," - ")</f>
        <v>13.121428571428572</v>
      </c>
      <c r="AN12" s="267">
        <f>IF(ISNUMBER('Resol  Asuntos'!D12/NºAsuntos!G12),'Resol  Asuntos'!D12/NºAsuntos!G12," - ")</f>
        <v>0.24642857142857144</v>
      </c>
      <c r="AO12" s="268">
        <f>IF(ISNUMBER((NºAsuntos!C12+NºAsuntos!E12)/NºAsuntos!G12),(NºAsuntos!C12+NºAsuntos!E12)/NºAsuntos!G12," - ")</f>
        <v>2.3821428571428571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96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9</v>
      </c>
      <c r="Y14" s="1165">
        <f t="shared" si="6"/>
        <v>9</v>
      </c>
      <c r="Z14" s="1165">
        <f t="shared" si="6"/>
        <v>0</v>
      </c>
      <c r="AA14" s="1165">
        <f t="shared" si="6"/>
        <v>2</v>
      </c>
      <c r="AB14" s="1165">
        <f t="shared" si="6"/>
        <v>403</v>
      </c>
      <c r="AC14" s="1165">
        <f t="shared" si="6"/>
        <v>2</v>
      </c>
      <c r="AD14" s="1165">
        <f t="shared" si="6"/>
        <v>0</v>
      </c>
      <c r="AE14" s="1169">
        <f t="shared" si="6"/>
        <v>0</v>
      </c>
      <c r="AF14" s="1162">
        <f t="shared" si="6"/>
        <v>0</v>
      </c>
      <c r="AG14" s="1170">
        <f t="shared" si="6"/>
        <v>0</v>
      </c>
      <c r="AH14" s="1167">
        <f t="shared" si="6"/>
        <v>0</v>
      </c>
      <c r="AI14" s="1162">
        <f t="shared" si="6"/>
        <v>69</v>
      </c>
      <c r="AJ14" s="1164">
        <f t="shared" si="6"/>
        <v>0</v>
      </c>
      <c r="AK14" s="1167">
        <f>SUBTOTAL(9,AK9:AK13)</f>
        <v>0</v>
      </c>
      <c r="AL14" s="1171">
        <f>IF(ISNUMBER(NºAsuntos!G14/NºAsuntos!E14),NºAsuntos!G14/NºAsuntos!E14," - ")</f>
        <v>0.73490813648293962</v>
      </c>
      <c r="AM14" s="1171">
        <f>IF(ISNUMBER(((NºAsuntos!I14/NºAsuntos!G14)*11)/factor_trimestre),((NºAsuntos!I14/NºAsuntos!G14)*11)/factor_trimestre," - ")</f>
        <v>13.2</v>
      </c>
      <c r="AN14" s="1172">
        <f>IF(ISNUMBER('Resol  Asuntos'!D14/NºAsuntos!G14),'Resol  Asuntos'!D14/NºAsuntos!G14," - ")</f>
        <v>0.24642857142857144</v>
      </c>
      <c r="AO14" s="1173">
        <f>IF(ISNUMBER((NºAsuntos!C14+NºAsuntos!E14)/NºAsuntos!G14),(NºAsuntos!C14+NºAsuntos!E14)/NºAsuntos!G14," - ")</f>
        <v>2.3892857142857142</v>
      </c>
      <c r="AP14" s="1174" t="str">
        <f t="shared" si="2"/>
        <v xml:space="preserve"> - </v>
      </c>
      <c r="AQ14" s="1174" t="str">
        <f>IF(ISNUMBER((H14-W14+K14)/(F14)),(H14-W14+K14)/(F14)," - ")</f>
        <v xml:space="preserve"> - </v>
      </c>
      <c r="AR14" s="1175">
        <f>IF(ISNUMBER((Datos!P14-Datos!Q14)/(Datos!R14-Datos!P14+Datos!Q14)),(Datos!P14-Datos!Q14)/(Datos!R14-Datos!P14+Datos!Q14)," - ")</f>
        <v>0.27531645569620256</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133</v>
      </c>
      <c r="G17" s="373">
        <f>IF(ISNUMBER(IF(D_I="SI",Datos!I17,Datos!I17+Datos!AC17)),IF(D_I="SI",Datos!I17,Datos!I17+Datos!AC17)," - ")</f>
        <v>124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364</v>
      </c>
      <c r="X17" s="240">
        <f>IF(ISNUMBER(Datos!Q17),Datos!Q17," - ")</f>
        <v>25</v>
      </c>
      <c r="Y17" s="374">
        <f t="shared" ref="Y17:Y22" si="9">SUM(W17:X17)</f>
        <v>389</v>
      </c>
      <c r="Z17" s="375" t="str">
        <f>IF(ISNUMBER(Datos!CC17),Datos!CC17," - ")</f>
        <v xml:space="preserve"> - </v>
      </c>
      <c r="AA17" s="372">
        <f>IF(ISNUMBER(IF(D_I="SI",Datos!L17,Datos!L17+Datos!AF17)),IF(D_I="SI",Datos!L17,Datos!L17+Datos!AF17)," - ")</f>
        <v>94</v>
      </c>
      <c r="AB17" s="374">
        <f>IF(ISNUMBER(Datos!R17),Datos!R17," - ")</f>
        <v>21</v>
      </c>
      <c r="AC17" s="374">
        <f t="shared" si="8"/>
        <v>115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65</v>
      </c>
      <c r="AJ17" s="245" t="str">
        <f>IF(ISNUMBER(Datos!BW17),Datos!BW17," - ")</f>
        <v xml:space="preserve"> - </v>
      </c>
      <c r="AK17" s="246" t="str">
        <f>IF(ISNUMBER(Datos!BX17),Datos!BX17," - ")</f>
        <v xml:space="preserve"> - </v>
      </c>
      <c r="AL17" s="266">
        <f>IF(ISNUMBER(NºAsuntos!G17/NºAsuntos!E17),NºAsuntos!G17/NºAsuntos!E17," - ")</f>
        <v>1.1200000000000001</v>
      </c>
      <c r="AM17" s="284">
        <f>IF(ISNUMBER(((NºAsuntos!I17/NºAsuntos!G17)*11)/factor_trimestre),((NºAsuntos!I17/NºAsuntos!G17)*11)/factor_trimestre," - ")</f>
        <v>2.8406593406593408</v>
      </c>
      <c r="AN17" s="267">
        <f>IF(ISNUMBER('Resol  Asuntos'!D17/NºAsuntos!G17),'Resol  Asuntos'!D17/NºAsuntos!G17," - ")</f>
        <v>0.17857142857142858</v>
      </c>
      <c r="AO17" s="268">
        <f>IF(ISNUMBER((NºAsuntos!C17+NºAsuntos!E17)/NºAsuntos!G17),(NºAsuntos!C17+NºAsuntos!E17)/NºAsuntos!G17," - ")</f>
        <v>1.2335164835164836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v>
      </c>
      <c r="X18" s="240">
        <f>IF(ISNUMBER(Datos!Q18),Datos!Q18," - ")</f>
        <v>0</v>
      </c>
      <c r="Y18" s="374">
        <f t="shared" si="9"/>
        <v>21</v>
      </c>
      <c r="Z18" s="375" t="str">
        <f>IF(ISNUMBER(Datos!CC18),Datos!CC18," - ")</f>
        <v xml:space="preserve"> - </v>
      </c>
      <c r="AA18" s="372">
        <f>IF(ISNUMBER(Datos!L18),Datos!L18,"-")</f>
        <v>0</v>
      </c>
      <c r="AB18" s="374">
        <f>IF(ISNUMBER(Datos!R18),Datos!R18," - ")</f>
        <v>0</v>
      </c>
      <c r="AC18" s="374">
        <f t="shared" si="8"/>
        <v>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1.2352941176470589</v>
      </c>
      <c r="AM18" s="284">
        <f>IF(ISNUMBER(((NºAsuntos!I18/NºAsuntos!G18)*11)/factor_trimestre),((NºAsuntos!I18/NºAsuntos!G18)*11)/factor_trimestre," - ")</f>
        <v>0</v>
      </c>
      <c r="AN18" s="267">
        <f>IF(ISNUMBER('Resol  Asuntos'!D18/NºAsuntos!G18),'Resol  Asuntos'!D18/NºAsuntos!G18," - ")</f>
        <v>9.5238095238095233E-2</v>
      </c>
      <c r="AO18" s="268">
        <f>IF(ISNUMBER((NºAsuntos!C18+NºAsuntos!E18)/NºAsuntos!G18),(NºAsuntos!C18+NºAsuntos!E18)/NºAsuntos!G18," - ")</f>
        <v>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133</v>
      </c>
      <c r="G23" s="1163">
        <f>SUBTOTAL(9,G16:G22)</f>
        <v>128</v>
      </c>
      <c r="H23" s="1162">
        <f t="shared" ref="H23:O23" si="13">SUBTOTAL(9,H15:H22)</f>
        <v>0</v>
      </c>
      <c r="I23" s="1164">
        <f t="shared" si="13"/>
        <v>0</v>
      </c>
      <c r="J23" s="1164">
        <f t="shared" si="13"/>
        <v>0</v>
      </c>
      <c r="K23" s="1164">
        <f t="shared" si="13"/>
        <v>0</v>
      </c>
      <c r="L23" s="1164">
        <f t="shared" si="13"/>
        <v>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385</v>
      </c>
      <c r="X23" s="1164">
        <f t="shared" si="14"/>
        <v>25</v>
      </c>
      <c r="Y23" s="1165">
        <f t="shared" si="14"/>
        <v>410</v>
      </c>
      <c r="Z23" s="1165">
        <f t="shared" si="14"/>
        <v>0</v>
      </c>
      <c r="AA23" s="1165">
        <f t="shared" si="14"/>
        <v>94</v>
      </c>
      <c r="AB23" s="1165">
        <f t="shared" si="14"/>
        <v>21</v>
      </c>
      <c r="AC23" s="1165">
        <f t="shared" si="14"/>
        <v>115</v>
      </c>
      <c r="AD23" s="1165">
        <f t="shared" si="14"/>
        <v>0</v>
      </c>
      <c r="AE23" s="1169">
        <f t="shared" si="14"/>
        <v>0</v>
      </c>
      <c r="AF23" s="1162">
        <f t="shared" si="14"/>
        <v>0</v>
      </c>
      <c r="AG23" s="1170">
        <f t="shared" si="14"/>
        <v>0</v>
      </c>
      <c r="AH23" s="1167">
        <f t="shared" si="14"/>
        <v>0</v>
      </c>
      <c r="AI23" s="1162">
        <f t="shared" si="14"/>
        <v>67</v>
      </c>
      <c r="AJ23" s="1164">
        <f t="shared" si="14"/>
        <v>0</v>
      </c>
      <c r="AK23" s="1167">
        <f t="shared" si="14"/>
        <v>0</v>
      </c>
      <c r="AL23" s="1171">
        <f>IF(ISNUMBER(NºAsuntos!G23/NºAsuntos!E23),NºAsuntos!G23/NºAsuntos!E23," - ")</f>
        <v>1.1257309941520468</v>
      </c>
      <c r="AM23" s="1171">
        <f>IF(ISNUMBER(((NºAsuntos!I23/NºAsuntos!G23)*11)/factor_trimestre),((NºAsuntos!I23/NºAsuntos!G23)*11)/factor_trimestre," - ")</f>
        <v>2.6857142857142855</v>
      </c>
      <c r="AN23" s="1172">
        <f>IF(ISNUMBER('Resol  Asuntos'!D23/NºAsuntos!G23),'Resol  Asuntos'!D23/NºAsuntos!G23," - ")</f>
        <v>0.17402597402597403</v>
      </c>
      <c r="AO23" s="1173">
        <f>IF(ISNUMBER((NºAsuntos!C23+NºAsuntos!E23)/NºAsuntos!G23),(NºAsuntos!C23+NºAsuntos!E23)/NºAsuntos!G23," - ")</f>
        <v>1.2207792207792207</v>
      </c>
      <c r="AP23" s="1174" t="str">
        <f t="shared" si="2"/>
        <v xml:space="preserve"> - </v>
      </c>
      <c r="AQ23" s="1174">
        <f>IF(ISNUMBER((H23-W23+K23)/(F23)),(H23-W23+K23)/(F23)," - ")</f>
        <v>-2.8947368421052633</v>
      </c>
      <c r="AR23" s="1175">
        <f>IF(ISNUMBER((Datos!P23-Datos!Q23)/(Datos!R23-Datos!P23+Datos!Q23)),(Datos!P23-Datos!Q23)/(Datos!R23-Datos!P23+Datos!Q23)," - ")</f>
        <v>-0.3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133</v>
      </c>
      <c r="G31" s="1118">
        <f t="shared" si="20"/>
        <v>128</v>
      </c>
      <c r="H31" s="1117">
        <f t="shared" si="20"/>
        <v>0</v>
      </c>
      <c r="I31" s="1119">
        <f t="shared" si="20"/>
        <v>0</v>
      </c>
      <c r="J31" s="1119">
        <f t="shared" si="20"/>
        <v>0</v>
      </c>
      <c r="K31" s="1180">
        <f t="shared" si="20"/>
        <v>0</v>
      </c>
      <c r="L31" s="1119">
        <f t="shared" si="20"/>
        <v>112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385</v>
      </c>
      <c r="X31" s="1118">
        <f t="shared" si="21"/>
        <v>34</v>
      </c>
      <c r="Y31" s="1125">
        <f t="shared" si="21"/>
        <v>419</v>
      </c>
      <c r="Z31" s="1125">
        <f t="shared" si="21"/>
        <v>0</v>
      </c>
      <c r="AA31" s="1125">
        <f t="shared" si="21"/>
        <v>96</v>
      </c>
      <c r="AB31" s="1125">
        <f t="shared" si="21"/>
        <v>424</v>
      </c>
      <c r="AC31" s="1125">
        <f t="shared" si="21"/>
        <v>117</v>
      </c>
      <c r="AD31" s="1125">
        <f t="shared" si="21"/>
        <v>0</v>
      </c>
      <c r="AE31" s="1127">
        <f t="shared" si="21"/>
        <v>0</v>
      </c>
      <c r="AF31" s="1128">
        <f t="shared" si="21"/>
        <v>0</v>
      </c>
      <c r="AG31" s="1129">
        <f t="shared" si="21"/>
        <v>0</v>
      </c>
      <c r="AH31" s="1127">
        <f t="shared" si="21"/>
        <v>0</v>
      </c>
      <c r="AI31" s="1117">
        <f t="shared" si="21"/>
        <v>136</v>
      </c>
      <c r="AJ31" s="1117">
        <f t="shared" si="21"/>
        <v>0</v>
      </c>
      <c r="AK31" s="1127">
        <f t="shared" si="21"/>
        <v>0</v>
      </c>
      <c r="AL31" s="1183">
        <f>IF(ISNUMBER(NºAsuntos!G31/NºAsuntos!E31),NºAsuntos!G31/NºAsuntos!E31," - ")</f>
        <v>0.91977869986168737</v>
      </c>
      <c r="AM31" s="1184">
        <f>IF(ISNUMBER(((NºAsuntos!I31/NºAsuntos!G31)*11)/factor_trimestre),((NºAsuntos!I31/NºAsuntos!G31)*11)/factor_trimestre," - ")</f>
        <v>7.1127819548872173</v>
      </c>
      <c r="AN31" s="1184">
        <f>IF(ISNUMBER('Resol  Asuntos'!D31/NºAsuntos!G31),'Resol  Asuntos'!D31/NºAsuntos!G31," - ")</f>
        <v>0.20451127819548873</v>
      </c>
      <c r="AO31" s="1185">
        <f>IF(ISNUMBER((NºAsuntos!C31+NºAsuntos!E31)/NºAsuntos!G31),(NºAsuntos!C31+NºAsuntos!E31)/NºAsuntos!G31," - ")</f>
        <v>1.7127819548872181</v>
      </c>
      <c r="AP31" s="1186" t="str">
        <f t="shared" si="2"/>
        <v xml:space="preserve"> - </v>
      </c>
      <c r="AQ31" s="1187">
        <f>IF(OR(ISNUMBER(FIND("01",Criterios!A8,1)),ISNUMBER(FIND("02",Criterios!A8,1)),ISNUMBER(FIND("03",Criterios!A8,1)),ISNUMBER(FIND("04",Criterios!A8,1))),(I31-W31+K31)/(F31-K31),(H31-W31+K31)/(F31-K31))</f>
        <v>-2.8947368421052633</v>
      </c>
      <c r="AR31" s="1188">
        <f>IF(ISNUMBER((Datos!P31-Datos!Q31)/(Datos!R31-Datos!P31+Datos!Q31)),(Datos!P31-Datos!Q31)/(Datos!R31-Datos!P31+Datos!Q31)," - ")</f>
        <v>0.22543352601156069</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36.571428571428569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68.680904672744859</v>
      </c>
      <c r="G33" s="277">
        <f>IF(ISNUMBER(STDEV(G8:G30)),STDEV(G8:G30),"-")</f>
        <v>61.119710794628666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180.95211152862149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35.840918355581081</v>
      </c>
      <c r="AJ33" s="276">
        <f t="shared" si="25"/>
        <v>0</v>
      </c>
      <c r="AK33" s="278">
        <f t="shared" si="25"/>
        <v>0</v>
      </c>
      <c r="AL33" s="273">
        <f t="shared" si="25"/>
        <v>0.45650323787202846</v>
      </c>
      <c r="AM33" s="274">
        <f t="shared" si="25"/>
        <v>6.3015433328510913</v>
      </c>
      <c r="AN33" s="274">
        <f t="shared" si="25"/>
        <v>6.2683016647862064E-2</v>
      </c>
      <c r="AO33" s="275">
        <f t="shared" si="25"/>
        <v>0.68239425284651134</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Zt7gOsn2t81IxfzNuysRu/ybp5s12OlYieAEodwzbmGXCrdazYUOExn5XTqT4NcsTD0tm/P33WvgZYcIRu33WA==" saltValue="YDM5u1ndTsJCbr/HYTXPM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CANARIAS</v>
      </c>
      <c r="E2" s="287"/>
    </row>
    <row r="3" spans="2:20" ht="17.25" customHeight="1">
      <c r="C3" s="291"/>
      <c r="D3" s="286" t="str">
        <f>Criterios!A10 &amp;"  "&amp;Criterios!B10</f>
        <v>Provincias  SANTA CRUZ DE TENERIFE</v>
      </c>
      <c r="E3" s="287"/>
    </row>
    <row r="4" spans="2:20" ht="17.25" customHeight="1" thickBot="1">
      <c r="D4" s="286" t="str">
        <f>Criterios!A11 &amp;"  "&amp;Criterios!B11</f>
        <v>Resumenes por Partidos Judiciales  VALVERDE</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-0.4152542372881356</v>
      </c>
      <c r="I12" s="395">
        <f>IF(ISNUMBER((Tasas!C12-Datos!BE12)/Datos!BE12),(Tasas!C12-Datos!BE12)/Datos!BE12," - ")</f>
        <v>0.48278769841269831</v>
      </c>
      <c r="J12" s="394">
        <f>IF(ISNUMBER((Tasas!D12-Datos!BF12)/Datos!BF12),(Tasas!D12-Datos!BF12)/Datos!BF12," - ")</f>
        <v>16.644285714285715</v>
      </c>
      <c r="K12" s="396">
        <f>IF(ISNUMBER((Tasas!E12-Datos!BG12)/Datos!BG12),(Tasas!E12-Datos!BG12)/Datos!BG12," - ")</f>
        <v>0.3623117298037426</v>
      </c>
      <c r="M12" t="e">
        <f>IF(Monitorios="SI",Datos!CE12,0)</f>
        <v>#REF!</v>
      </c>
      <c r="N12" t="e">
        <f>IF(Monitorios="SI",Datos!CF12,0)</f>
        <v>#REF!</v>
      </c>
      <c r="O12" t="e">
        <f>IF(Monitorios="SI",Datos!CG12,0)</f>
        <v>#REF!</v>
      </c>
      <c r="P12" t="e">
        <f>IF(Monitorios="SI",Datos!CH12,0)</f>
        <v>#REF!</v>
      </c>
      <c r="Q12">
        <f>IF(J_V="SI",0,Datos!AG12)</f>
        <v>6</v>
      </c>
      <c r="R12">
        <f>IF(J_V="SI",0,Datos!AH12)</f>
        <v>12</v>
      </c>
      <c r="S12">
        <f>IF(J_V="SI",0,Datos!AI12)</f>
        <v>15</v>
      </c>
      <c r="T12">
        <f>IF(J_V="SI",0,Datos!AJ12)</f>
        <v>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-0.4152542372881356</v>
      </c>
      <c r="I14" s="402">
        <f>IF(ISNUMBER((Tasas!C14-Datos!BE14)/Datos!BE14),(Tasas!C14-Datos!BE14)/Datos!BE14," - ")</f>
        <v>0.49166666666666653</v>
      </c>
      <c r="J14" s="400">
        <f>IF(ISNUMBER((Tasas!D14-Datos!BF14)/Datos!BF14),(Tasas!D14-Datos!BF14)/Datos!BF14," - ")</f>
        <v>16.644285714285715</v>
      </c>
      <c r="K14" s="403">
        <f>IF(ISNUMBER((Tasas!E14-Datos!BG14)/Datos!BG14),(Tasas!E14-Datos!BG14)/Datos!BG14," - ")</f>
        <v>0.36639662254678229</v>
      </c>
      <c r="M14" t="e">
        <f>IF(Monitorios="SI",Datos!CE14,0)</f>
        <v>#REF!</v>
      </c>
      <c r="N14" t="e">
        <f>IF(Monitorios="SI",Datos!CF14,0)</f>
        <v>#REF!</v>
      </c>
      <c r="O14" t="e">
        <f>IF(Monitorios="SI",Datos!CG14,0)</f>
        <v>#REF!</v>
      </c>
      <c r="P14" t="e">
        <f>IF(Monitorios="SI",Datos!CH14,0)</f>
        <v>#REF!</v>
      </c>
      <c r="Q14">
        <f>IF(J_V="SI",0,Datos!AG14)</f>
        <v>6</v>
      </c>
      <c r="R14">
        <f>IF(J_V="SI",0,Datos!AH14)</f>
        <v>12</v>
      </c>
      <c r="S14">
        <f>IF(J_V="SI",0,Datos!AI14)</f>
        <v>15</v>
      </c>
      <c r="T14">
        <f>IF(J_V="SI",0,Datos!AJ14)</f>
        <v>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-7.4626865671641784E-2</v>
      </c>
      <c r="E17" s="393">
        <f>IF(ISNUMBER(
   IF(D_I="SI",(Datos!J17-Datos!T17)/Datos!T17,(Datos!J17+Datos!AD17-(Datos!T17+Datos!AL17))/(Datos!T17+Datos!AL17))
     ),IF(D_I="SI",(Datos!J17-Datos!T17)/Datos!T17,(Datos!J17+Datos!AD17-(Datos!T17+Datos!AL17))/(Datos!T17+Datos!AL17))," - ")</f>
        <v>0.11683848797250859</v>
      </c>
      <c r="F17" s="393">
        <f>IF(ISNUMBER(
   IF(D_I="SI",(Datos!K17-Datos!U17)/Datos!U17,(Datos!K17+Datos!AE17-(Datos!U17+Datos!AM17))/(Datos!U17+Datos!AM17))
     ),IF(D_I="SI",(Datos!K17-Datos!U17)/Datos!U17,(Datos!K17+Datos!AE17-(Datos!U17+Datos!AM17))/(Datos!U17+Datos!AM17))," - ")</f>
        <v>0.20930232558139536</v>
      </c>
      <c r="G17" s="394">
        <f>IF(ISNUMBER(
   IF(D_I="SI",(Datos!L17-Datos!V17)/Datos!V17,(Datos!L17+Datos!AF17-(Datos!V17+Datos!AN17))/(Datos!V17+Datos!AN17))
     ),IF(D_I="SI",(Datos!L17-Datos!V17)/Datos!V17,(Datos!L17+Datos!AF17-(Datos!V17+Datos!AN17))/(Datos!V17+Datos!AN17))," - ")</f>
        <v>-0.24193548387096775</v>
      </c>
      <c r="H17" s="244">
        <f>IF(ISNUMBER((Datos!M17-Datos!W17)/Datos!W17),(Datos!M17-Datos!W17)/Datos!W17," - ")</f>
        <v>-5.7971014492753624E-2</v>
      </c>
      <c r="I17" s="395">
        <f>IF(ISNUMBER((Tasas!C17-Datos!BE17)/Datos!BE17),(Tasas!C17-Datos!BE17)/Datos!BE17," - ")</f>
        <v>-0.37313895781637707</v>
      </c>
      <c r="J17" s="394">
        <f>IF(ISNUMBER((Tasas!D17-Datos!BF17)/Datos!BF17),(Tasas!D17-Datos!BF17)/Datos!BF17," - ")</f>
        <v>-0.22101449275362317</v>
      </c>
      <c r="K17" s="396">
        <f>IF(ISNUMBER((Tasas!E17-Datos!BG17)/Datos!BG17),(Tasas!E17-Datos!BG17)/Datos!BG17," - ")</f>
        <v>-0.12638009049773755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-0.42857142857142855</v>
      </c>
      <c r="E18" s="393">
        <f>IF(ISNUMBER(
   IF(D_I="SI",(Datos!J18-Datos!T18)/Datos!T18,(Datos!J18+Datos!AD18-(Datos!T18+Datos!AL18))/(Datos!T18+Datos!AL18))
     ),IF(D_I="SI",(Datos!J18-Datos!T18)/Datos!T18,(Datos!J18+Datos!AD18-(Datos!T18+Datos!AL18))/(Datos!T18+Datos!AL18))," - ")</f>
        <v>-0.15</v>
      </c>
      <c r="F18" s="393">
        <f>IF(ISNUMBER(
   IF(D_I="SI",(Datos!K18-Datos!U18)/Datos!U18,(Datos!K18+Datos!AE18-(Datos!U18+Datos!AM18))/(Datos!U18+Datos!AM18))
     ),IF(D_I="SI",(Datos!K18-Datos!U18)/Datos!U18,(Datos!K18+Datos!AE18-(Datos!U18+Datos!AM18))/(Datos!U18+Datos!AM18))," - ")</f>
        <v>-8.6956521739130432E-2</v>
      </c>
      <c r="G18" s="394">
        <f>IF(ISNUMBER(
   IF(D_I="SI",(Datos!L18-Datos!V18)/Datos!V18,(Datos!L18+Datos!AF18-(Datos!V18+Datos!AN18))/(Datos!V18+Datos!AN18))
     ),IF(D_I="SI",(Datos!L18-Datos!V18)/Datos!V18,(Datos!L18+Datos!AF18-(Datos!V18+Datos!AN18))/(Datos!V18+Datos!AN18))," - ")</f>
        <v>-1</v>
      </c>
      <c r="H18" s="244">
        <f>IF(ISNUMBER((Datos!M18-Datos!W18)/Datos!W18),(Datos!M18-Datos!W18)/Datos!W18," - ")</f>
        <v>-0.66666666666666663</v>
      </c>
      <c r="I18" s="395">
        <f>IF(ISNUMBER((Tasas!C18-Datos!BE18)/Datos!BE18),(Tasas!C18-Datos!BE18)/Datos!BE18," - ")</f>
        <v>-1</v>
      </c>
      <c r="J18" s="394">
        <f>IF(ISNUMBER((Tasas!D18-Datos!BF18)/Datos!BF18),(Tasas!D18-Datos!BF18)/Datos!BF18," - ")</f>
        <v>-0.63492063492063489</v>
      </c>
      <c r="K18" s="396">
        <f>IF(ISNUMBER((Tasas!E18-Datos!BG18)/Datos!BG18),(Tasas!E18-Datos!BG18)/Datos!BG18," - ")</f>
        <v>-0.14814814814814822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-9.2198581560283682E-2</v>
      </c>
      <c r="E23" s="399">
        <f>IF(ISNUMBER(
   IF(D_I="SI",(Datos!J23-Datos!T23)/Datos!T23,(Datos!J23+Datos!AD23-(Datos!T23+Datos!AL23))/(Datos!T23+Datos!AL23))
     ),IF(D_I="SI",(Datos!J23-Datos!T23)/Datos!T23,(Datos!J23+Datos!AD23-(Datos!T23+Datos!AL23))/(Datos!T23+Datos!AL23))," - ")</f>
        <v>9.9678456591639875E-2</v>
      </c>
      <c r="F23" s="399">
        <f>IF(ISNUMBER(
   IF(D_I="SI",(Datos!K23-Datos!U23)/Datos!U23,(Datos!K23+Datos!AE23-(Datos!U23+Datos!AM23))/(Datos!U23+Datos!AM23))
     ),IF(D_I="SI",(Datos!K23-Datos!U23)/Datos!U23,(Datos!K23+Datos!AE23-(Datos!U23+Datos!AM23))/(Datos!U23+Datos!AM23))," - ")</f>
        <v>0.18827160493827161</v>
      </c>
      <c r="G23" s="400">
        <f>IF(ISNUMBER(
   IF(D_I="SI",(Datos!L23-Datos!V23)/Datos!V23,(Datos!L23+Datos!AF23-(Datos!V23+Datos!AN23))/(Datos!V23+Datos!AN23))
     ),IF(D_I="SI",(Datos!L23-Datos!V23)/Datos!V23,(Datos!L23+Datos!AF23-(Datos!V23+Datos!AN23))/(Datos!V23+Datos!AN23))," - ")</f>
        <v>-0.265625</v>
      </c>
      <c r="H23" s="401">
        <f>IF(ISNUMBER((Datos!M23-Datos!W23)/Datos!W23),(Datos!M23-Datos!W23)/Datos!W23," - ")</f>
        <v>-0.10666666666666667</v>
      </c>
      <c r="I23" s="402">
        <f>IF(ISNUMBER((Tasas!C23-Datos!BE23)/Datos!BE23),(Tasas!C23-Datos!BE23)/Datos!BE23," - ")</f>
        <v>-0.38198051948051948</v>
      </c>
      <c r="J23" s="400">
        <f>IF(ISNUMBER((Tasas!D23-Datos!BF23)/Datos!BF23),(Tasas!D23-Datos!BF23)/Datos!BF23," - ")</f>
        <v>-0.24820779220779221</v>
      </c>
      <c r="K23" s="403">
        <f>IF(ISNUMBER((Tasas!E23-Datos!BG23)/Datos!BG23),(Tasas!E23-Datos!BG23)/Datos!BG23," - ")</f>
        <v>-0.1249281691759568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-4.5871559633027525E-2</v>
      </c>
      <c r="E31" s="409">
        <f>IF(ISNUMBER(
   IF(J_V="SI",(Datos!J31-Datos!T31)/Datos!T31,(Datos!J31+Datos!Z31-(Datos!T31+Datos!AH31))/(Datos!T31+Datos!AH31))
     ),IF(J_V="SI",(Datos!J31-Datos!T31)/Datos!T31,(Datos!J31+Datos!Z31-(Datos!T31+Datos!AH31))/(Datos!T31+Datos!AH31))," - ")</f>
        <v>0.12616822429906541</v>
      </c>
      <c r="F31" s="409">
        <f>IF(ISNUMBER(
   IF(J_V="SI",(Datos!K31-Datos!U31)/Datos!U31,(Datos!K31+Datos!AA31-(Datos!U31+Datos!AI31))/(Datos!U31+Datos!AI31))
     ),IF(J_V="SI",(Datos!K31-Datos!U31)/Datos!U31,(Datos!K31+Datos!AA31-(Datos!U31+Datos!AI31))/(Datos!U31+Datos!AI31))," - ")</f>
        <v>-2.4926686217008796E-2</v>
      </c>
      <c r="G31" s="410">
        <f>IF(ISNUMBER(
   IF(J_V="SI",(Datos!L31-Datos!V31)/Datos!V31,(Datos!L31+Datos!AB31-(Datos!V31+Datos!AJ31))/(Datos!V31+Datos!AJ31))
     ),IF(J_V="SI",(Datos!L31-Datos!V31)/Datos!V31,(Datos!L31+Datos!AB31-(Datos!V31+Datos!AJ31))/(Datos!V31+Datos!AJ31))," - ")</f>
        <v>3.3653846153846152E-2</v>
      </c>
      <c r="H31" s="411">
        <f>IF(ISNUMBER((Datos!M31-Datos!W31)/Datos!W31),(Datos!M31-Datos!W31)/Datos!W31," - ")</f>
        <v>-0.29533678756476683</v>
      </c>
      <c r="I31" s="408">
        <f>IF(ISNUMBER((Tasas!C31-Datos!BE31)/Datos!BE31),(Tasas!C31-Datos!BE31)/Datos!BE31," - ")</f>
        <v>6.0078079814921838E-2</v>
      </c>
      <c r="J31" s="409">
        <f>IF(ISNUMBER((Tasas!D31-Datos!BF31)/Datos!BF31),(Tasas!D31-Datos!BF31)/Datos!BF31," - ")</f>
        <v>0.74345864661654126</v>
      </c>
      <c r="K31" s="410">
        <f>IF(ISNUMBER((Tasas!E31-Datos!BG31)/Datos!BG31),(Tasas!E31-Datos!BG31)/Datos!BG31," - ")</f>
        <v>8.359674696946455E-2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0.19947105513163857</v>
      </c>
      <c r="E33" s="303">
        <f t="shared" si="1"/>
        <v>0.14935225532636504</v>
      </c>
      <c r="F33" s="303">
        <f t="shared" si="1"/>
        <v>0.16530886119665403</v>
      </c>
      <c r="G33" s="304">
        <f t="shared" si="1"/>
        <v>0.4309929706335846</v>
      </c>
      <c r="H33" s="310">
        <f t="shared" si="1"/>
        <v>0.25086383386952443</v>
      </c>
      <c r="I33" s="302">
        <f t="shared" si="1"/>
        <v>0.6399363773973783</v>
      </c>
      <c r="J33" s="303">
        <f t="shared" si="1"/>
        <v>9.3194767143618531</v>
      </c>
      <c r="K33" s="304">
        <f t="shared" si="1"/>
        <v>0.27265443078166002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u+mHvK/FwFvAp+CXgdJY4QHA9mkfzX3AuzEGMXcC6o2H0ttFOs8z445tOmMHpJjx3RQ4UTqfNtGUuihAYWOzDg==" saltValue="pD/5ktzjKTi6M+IHxa/Ig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2023-04-14T20:37:43Z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